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fzp-my.sharepoint.com/personal/mkotera_sfzp_cz/Documents/"/>
    </mc:Choice>
  </mc:AlternateContent>
  <xr:revisionPtr revIDLastSave="256" documentId="8_{CB891F1D-AF96-4E6E-85C8-FC299F6CE77F}" xr6:coauthVersionLast="47" xr6:coauthVersionMax="47" xr10:uidLastSave="{57755E1B-7854-4530-B2DE-CD77B9289559}"/>
  <workbookProtection workbookAlgorithmName="SHA-512" workbookHashValue="oBkF4vEHMs2AqBAj1Catoso6NQqlAp/E2yNlJ/glDHwG1/ZkOnVJSGYpAM1QQKRrgzRF3VVBO0POijV2CyroFQ==" workbookSaltValue="J/kzXG77YKS1vKwwUICe+A==" workbookSpinCount="100000" lockStructure="1"/>
  <bookViews>
    <workbookView xWindow="-38520" yWindow="-120" windowWidth="38640" windowHeight="21120" xr2:uid="{00000000-000D-0000-FFFF-FFFF00000000}"/>
  </bookViews>
  <sheets>
    <sheet name="obálka_ST" sheetId="18" r:id="rId1"/>
    <sheet name="U-hodnota" sheetId="17" r:id="rId2"/>
    <sheet name="Materiály" sheetId="23" r:id="rId3"/>
    <sheet name="Zadání OS" sheetId="24" r:id="rId4"/>
    <sheet name="Výkony " sheetId="25" state="hidden" r:id="rId5"/>
  </sheets>
  <externalReferences>
    <externalReference r:id="rId6"/>
    <externalReference r:id="rId7"/>
  </externalReferences>
  <definedNames>
    <definedName name="_xlnm._FilterDatabase" localSheetId="2" hidden="1">Materiály!$B$4:$J$397</definedName>
    <definedName name="energie">#REF!</definedName>
    <definedName name="objekty">'[1]Přehled budov a VO'!$I$10:$I$509</definedName>
    <definedName name="_xlnm.Print_Area" localSheetId="0">obálka_ST!$A$2:$X$82</definedName>
    <definedName name="_xlnm.Print_Area" localSheetId="3">'Zadání OS'!$A$1:$N$70</definedName>
    <definedName name="PHPP_Daten_JaNeinAbfrage">[2]Data!$A$220:$A$222</definedName>
    <definedName name="typ">#REF!</definedName>
    <definedName name="typV1">#REF!</definedName>
    <definedName name="zkratky">'[1]návod k použití '!$D$13:$D$22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3" i="18" l="1"/>
  <c r="W10" i="18"/>
  <c r="W12" i="18"/>
  <c r="G58" i="18" l="1"/>
  <c r="G57" i="18"/>
  <c r="G55" i="18"/>
  <c r="G54" i="18"/>
  <c r="G53" i="18"/>
  <c r="G51" i="18"/>
  <c r="G49" i="18"/>
  <c r="G47" i="18"/>
  <c r="G43" i="18"/>
  <c r="G41" i="18"/>
  <c r="G40" i="18"/>
  <c r="G38" i="18"/>
  <c r="G37" i="18"/>
  <c r="G35" i="18"/>
  <c r="G34" i="18"/>
  <c r="G33" i="18"/>
  <c r="G45" i="18"/>
  <c r="D69" i="24"/>
  <c r="D68" i="24"/>
  <c r="D67" i="24"/>
  <c r="D66" i="24"/>
  <c r="D65" i="24"/>
  <c r="U33" i="18"/>
  <c r="U57" i="18"/>
  <c r="T57" i="18"/>
  <c r="P57" i="18"/>
  <c r="W57" i="18" s="1"/>
  <c r="C22" i="17"/>
  <c r="C24" i="17"/>
  <c r="U34" i="18"/>
  <c r="U35" i="18"/>
  <c r="U37" i="18"/>
  <c r="U38" i="18"/>
  <c r="U41" i="18"/>
  <c r="U43" i="18"/>
  <c r="U47" i="18"/>
  <c r="U51" i="18"/>
  <c r="U53" i="18"/>
  <c r="U54" i="18"/>
  <c r="U55" i="18"/>
  <c r="U58" i="18"/>
  <c r="T34" i="18"/>
  <c r="E49" i="25"/>
  <c r="B49" i="25"/>
  <c r="O49" i="25" s="1"/>
  <c r="E48" i="25"/>
  <c r="B48" i="25"/>
  <c r="E47" i="25"/>
  <c r="B47" i="25"/>
  <c r="E46" i="25"/>
  <c r="B46" i="25"/>
  <c r="E45" i="25"/>
  <c r="B45" i="25"/>
  <c r="T43" i="25"/>
  <c r="S43" i="25"/>
  <c r="R43" i="25"/>
  <c r="Q43" i="25"/>
  <c r="T42" i="25"/>
  <c r="S42" i="25"/>
  <c r="R42" i="25"/>
  <c r="Q42" i="25"/>
  <c r="T41" i="25"/>
  <c r="S41" i="25"/>
  <c r="R41" i="25"/>
  <c r="Q41" i="25"/>
  <c r="T40" i="25"/>
  <c r="S40" i="25"/>
  <c r="R40" i="25"/>
  <c r="Q40" i="25"/>
  <c r="T39" i="25"/>
  <c r="S39" i="25"/>
  <c r="R39" i="25"/>
  <c r="Q39" i="25"/>
  <c r="O34" i="25"/>
  <c r="O33" i="25"/>
  <c r="O32" i="25"/>
  <c r="O31" i="25"/>
  <c r="O30" i="25"/>
  <c r="O29" i="25"/>
  <c r="O28" i="25"/>
  <c r="O27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AB19" i="25"/>
  <c r="AA19" i="25"/>
  <c r="Z19" i="25"/>
  <c r="Y19" i="25"/>
  <c r="X19" i="25"/>
  <c r="W19" i="25"/>
  <c r="V19" i="25"/>
  <c r="U19" i="25"/>
  <c r="T19" i="25"/>
  <c r="S19" i="25"/>
  <c r="R19" i="25"/>
  <c r="Q19" i="25"/>
  <c r="AB18" i="25"/>
  <c r="AA18" i="25"/>
  <c r="Z18" i="25"/>
  <c r="Y18" i="25"/>
  <c r="X18" i="25"/>
  <c r="W18" i="25"/>
  <c r="V18" i="25"/>
  <c r="U18" i="25"/>
  <c r="T18" i="25"/>
  <c r="S18" i="25"/>
  <c r="R18" i="25"/>
  <c r="Q18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AB15" i="25"/>
  <c r="AA15" i="25"/>
  <c r="Z15" i="25"/>
  <c r="Y15" i="25"/>
  <c r="X15" i="25"/>
  <c r="W15" i="25"/>
  <c r="V15" i="25"/>
  <c r="U15" i="25"/>
  <c r="T15" i="25"/>
  <c r="S15" i="25"/>
  <c r="R15" i="25"/>
  <c r="Q15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AB12" i="25"/>
  <c r="AA12" i="25"/>
  <c r="Z12" i="25"/>
  <c r="Y12" i="25"/>
  <c r="X12" i="25"/>
  <c r="W12" i="25"/>
  <c r="V12" i="25"/>
  <c r="U12" i="25"/>
  <c r="T12" i="25"/>
  <c r="S12" i="25"/>
  <c r="R12" i="25"/>
  <c r="Q12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AB10" i="25"/>
  <c r="AA10" i="25"/>
  <c r="Z10" i="25"/>
  <c r="Y10" i="25"/>
  <c r="X10" i="25"/>
  <c r="W10" i="25"/>
  <c r="V10" i="25"/>
  <c r="U10" i="25"/>
  <c r="T10" i="25"/>
  <c r="S10" i="25"/>
  <c r="R10" i="25"/>
  <c r="Q10" i="25"/>
  <c r="O45" i="25" l="1"/>
  <c r="O39" i="25"/>
  <c r="O43" i="25"/>
  <c r="O48" i="25"/>
  <c r="O17" i="25"/>
  <c r="O23" i="25"/>
  <c r="O42" i="25"/>
  <c r="O46" i="25"/>
  <c r="O47" i="25"/>
  <c r="O40" i="25"/>
  <c r="O13" i="25"/>
  <c r="O16" i="25"/>
  <c r="O21" i="25"/>
  <c r="O10" i="25"/>
  <c r="O12" i="25"/>
  <c r="O14" i="25"/>
  <c r="O18" i="25"/>
  <c r="O20" i="25"/>
  <c r="O22" i="25"/>
  <c r="O41" i="25"/>
  <c r="O15" i="25"/>
  <c r="O19" i="25"/>
  <c r="O11" i="25"/>
  <c r="O5" i="25" l="1"/>
  <c r="D12" i="24" s="1"/>
  <c r="W68" i="18"/>
  <c r="N45" i="18"/>
  <c r="U45" i="18" s="1"/>
  <c r="U40" i="18"/>
  <c r="P33" i="18"/>
  <c r="W33" i="18" s="1"/>
  <c r="P34" i="18"/>
  <c r="W34" i="18" s="1"/>
  <c r="P35" i="18"/>
  <c r="W35" i="18" s="1"/>
  <c r="P37" i="18"/>
  <c r="W37" i="18" s="1"/>
  <c r="P38" i="18"/>
  <c r="W38" i="18" s="1"/>
  <c r="P40" i="18"/>
  <c r="P41" i="18"/>
  <c r="W41" i="18" s="1"/>
  <c r="P43" i="18"/>
  <c r="W43" i="18" s="1"/>
  <c r="P47" i="18"/>
  <c r="W47" i="18" s="1"/>
  <c r="P51" i="18"/>
  <c r="W51" i="18" s="1"/>
  <c r="P53" i="18"/>
  <c r="W53" i="18" s="1"/>
  <c r="P58" i="18"/>
  <c r="W58" i="18" s="1"/>
  <c r="W45" i="18"/>
  <c r="W54" i="18"/>
  <c r="W55" i="18"/>
  <c r="P60" i="18"/>
  <c r="U70" i="18"/>
  <c r="T35" i="18"/>
  <c r="T37" i="18"/>
  <c r="T38" i="18"/>
  <c r="T41" i="18"/>
  <c r="T43" i="18"/>
  <c r="T47" i="18"/>
  <c r="T51" i="18"/>
  <c r="T53" i="18"/>
  <c r="T54" i="18"/>
  <c r="T55" i="18"/>
  <c r="T58" i="18"/>
  <c r="X12" i="17"/>
  <c r="V21" i="17"/>
  <c r="T21" i="17" s="1"/>
  <c r="AB12" i="17" s="1"/>
  <c r="U21" i="17"/>
  <c r="AC12" i="17" s="1"/>
  <c r="AC13" i="17" s="1"/>
  <c r="AC14" i="17" s="1"/>
  <c r="AC15" i="17" s="1"/>
  <c r="AC16" i="17" s="1"/>
  <c r="AC17" i="17" s="1"/>
  <c r="AC18" i="17" s="1"/>
  <c r="AC19" i="17" s="1"/>
  <c r="T12" i="17"/>
  <c r="T13" i="17"/>
  <c r="V13" i="17" s="1"/>
  <c r="T14" i="17"/>
  <c r="U14" i="17" s="1"/>
  <c r="T15" i="17"/>
  <c r="U15" i="17" s="1"/>
  <c r="T16" i="17"/>
  <c r="V16" i="17" s="1"/>
  <c r="T17" i="17"/>
  <c r="V17" i="17" s="1"/>
  <c r="T18" i="17"/>
  <c r="V18" i="17" s="1"/>
  <c r="T19" i="17"/>
  <c r="U19" i="17" s="1"/>
  <c r="U16" i="17"/>
  <c r="U18" i="17"/>
  <c r="X19" i="17"/>
  <c r="Z19" i="17" s="1"/>
  <c r="AD12" i="17"/>
  <c r="AD13" i="17" s="1"/>
  <c r="AD14" i="17" s="1"/>
  <c r="AD15" i="17" s="1"/>
  <c r="AD16" i="17"/>
  <c r="AD17" i="17" s="1"/>
  <c r="AD18" i="17" s="1"/>
  <c r="AD19" i="17" s="1"/>
  <c r="X18" i="17"/>
  <c r="Y18" i="17" s="1"/>
  <c r="X17" i="17"/>
  <c r="Y17" i="17" s="1"/>
  <c r="AE17" i="17"/>
  <c r="Z17" i="17"/>
  <c r="X16" i="17"/>
  <c r="X15" i="17"/>
  <c r="AE15" i="17" s="1"/>
  <c r="X14" i="17"/>
  <c r="AE14" i="17" s="1"/>
  <c r="X13" i="17"/>
  <c r="Y13" i="17" s="1"/>
  <c r="Z12" i="17"/>
  <c r="Y12" i="17"/>
  <c r="P21" i="17"/>
  <c r="F21" i="17"/>
  <c r="T180" i="17"/>
  <c r="V180" i="17" s="1"/>
  <c r="X180" i="17"/>
  <c r="U189" i="17"/>
  <c r="T189" i="17" s="1"/>
  <c r="AB180" i="17" s="1"/>
  <c r="AB181" i="17" s="1"/>
  <c r="AB182" i="17" s="1"/>
  <c r="AB183" i="17" s="1"/>
  <c r="AB184" i="17" s="1"/>
  <c r="AB185" i="17" s="1"/>
  <c r="AB186" i="17" s="1"/>
  <c r="AB187" i="17" s="1"/>
  <c r="V189" i="17"/>
  <c r="AD180" i="17" s="1"/>
  <c r="AD181" i="17" s="1"/>
  <c r="AD182" i="17" s="1"/>
  <c r="AD183" i="17" s="1"/>
  <c r="AD184" i="17" s="1"/>
  <c r="AD185" i="17" s="1"/>
  <c r="AD186" i="17" s="1"/>
  <c r="AD187" i="17" s="1"/>
  <c r="AC180" i="17"/>
  <c r="AC181" i="17" s="1"/>
  <c r="AC182" i="17" s="1"/>
  <c r="AC183" i="17" s="1"/>
  <c r="AC184" i="17" s="1"/>
  <c r="AC185" i="17" s="1"/>
  <c r="AC186" i="17" s="1"/>
  <c r="AC187" i="17" s="1"/>
  <c r="T181" i="17"/>
  <c r="U181" i="17" s="1"/>
  <c r="X181" i="17"/>
  <c r="Z181" i="17" s="1"/>
  <c r="T182" i="17"/>
  <c r="U182" i="17"/>
  <c r="V182" i="17"/>
  <c r="X182" i="17"/>
  <c r="Z182" i="17" s="1"/>
  <c r="T183" i="17"/>
  <c r="U183" i="17" s="1"/>
  <c r="X183" i="17"/>
  <c r="Y183" i="17" s="1"/>
  <c r="T184" i="17"/>
  <c r="U184" i="17"/>
  <c r="V184" i="17"/>
  <c r="X184" i="17"/>
  <c r="Y184" i="17" s="1"/>
  <c r="T185" i="17"/>
  <c r="V185" i="17" s="1"/>
  <c r="X185" i="17"/>
  <c r="Y185" i="17" s="1"/>
  <c r="Z185" i="17"/>
  <c r="T186" i="17"/>
  <c r="X186" i="17"/>
  <c r="AE186" i="17" s="1"/>
  <c r="T187" i="17"/>
  <c r="U187" i="17" s="1"/>
  <c r="V187" i="17"/>
  <c r="X187" i="17"/>
  <c r="T188" i="17"/>
  <c r="F189" i="17"/>
  <c r="P189" i="17"/>
  <c r="C190" i="17"/>
  <c r="T201" i="17"/>
  <c r="U201" i="17" s="1"/>
  <c r="X201" i="17"/>
  <c r="Y201" i="17" s="1"/>
  <c r="U210" i="17"/>
  <c r="AC201" i="17" s="1"/>
  <c r="AC202" i="17" s="1"/>
  <c r="AC203" i="17" s="1"/>
  <c r="AC204" i="17" s="1"/>
  <c r="AC205" i="17" s="1"/>
  <c r="AC206" i="17" s="1"/>
  <c r="AC207" i="17" s="1"/>
  <c r="AC208" i="17" s="1"/>
  <c r="V210" i="17"/>
  <c r="AD201" i="17" s="1"/>
  <c r="T202" i="17"/>
  <c r="V202" i="17" s="1"/>
  <c r="U202" i="17"/>
  <c r="X202" i="17"/>
  <c r="Y202" i="17" s="1"/>
  <c r="AD202" i="17"/>
  <c r="AD203" i="17" s="1"/>
  <c r="AD204" i="17" s="1"/>
  <c r="AD205" i="17" s="1"/>
  <c r="AD206" i="17" s="1"/>
  <c r="AD207" i="17" s="1"/>
  <c r="AD208" i="17" s="1"/>
  <c r="T203" i="17"/>
  <c r="X203" i="17"/>
  <c r="T204" i="17"/>
  <c r="U204" i="17" s="1"/>
  <c r="X204" i="17"/>
  <c r="Z204" i="17" s="1"/>
  <c r="T205" i="17"/>
  <c r="U205" i="17" s="1"/>
  <c r="X205" i="17"/>
  <c r="AE205" i="17" s="1"/>
  <c r="T206" i="17"/>
  <c r="V206" i="17" s="1"/>
  <c r="X206" i="17"/>
  <c r="Z206" i="17" s="1"/>
  <c r="Y206" i="17"/>
  <c r="T207" i="17"/>
  <c r="U207" i="17" s="1"/>
  <c r="V207" i="17"/>
  <c r="X207" i="17"/>
  <c r="AE207" i="17" s="1"/>
  <c r="Y207" i="17"/>
  <c r="Z207" i="17"/>
  <c r="T208" i="17"/>
  <c r="U208" i="17" s="1"/>
  <c r="X208" i="17"/>
  <c r="AE208" i="17" s="1"/>
  <c r="Y208" i="17"/>
  <c r="T209" i="17"/>
  <c r="U209" i="17"/>
  <c r="F210" i="17"/>
  <c r="P210" i="17"/>
  <c r="C211" i="17"/>
  <c r="T222" i="17"/>
  <c r="U222" i="17" s="1"/>
  <c r="X222" i="17"/>
  <c r="AE222" i="17" s="1"/>
  <c r="U231" i="17"/>
  <c r="V231" i="17"/>
  <c r="AD222" i="17"/>
  <c r="T223" i="17"/>
  <c r="V223" i="17" s="1"/>
  <c r="U223" i="17"/>
  <c r="X223" i="17"/>
  <c r="Z223" i="17" s="1"/>
  <c r="Y223" i="17"/>
  <c r="AD223" i="17"/>
  <c r="AD224" i="17" s="1"/>
  <c r="T224" i="17"/>
  <c r="U224" i="17"/>
  <c r="V224" i="17"/>
  <c r="X224" i="17"/>
  <c r="T225" i="17"/>
  <c r="U225" i="17" s="1"/>
  <c r="X225" i="17"/>
  <c r="AE225" i="17" s="1"/>
  <c r="AD225" i="17"/>
  <c r="AD226" i="17" s="1"/>
  <c r="AD227" i="17" s="1"/>
  <c r="AD228" i="17" s="1"/>
  <c r="AD229" i="17" s="1"/>
  <c r="T226" i="17"/>
  <c r="U226" i="17" s="1"/>
  <c r="X226" i="17"/>
  <c r="AE226" i="17" s="1"/>
  <c r="T227" i="17"/>
  <c r="V227" i="17" s="1"/>
  <c r="X227" i="17"/>
  <c r="Y227" i="17" s="1"/>
  <c r="T228" i="17"/>
  <c r="U228" i="17" s="1"/>
  <c r="X228" i="17"/>
  <c r="AE228" i="17" s="1"/>
  <c r="Z228" i="17"/>
  <c r="T229" i="17"/>
  <c r="U229" i="17"/>
  <c r="V229" i="17"/>
  <c r="X229" i="17"/>
  <c r="Y229" i="17" s="1"/>
  <c r="T230" i="17"/>
  <c r="U230" i="17"/>
  <c r="V230" i="17"/>
  <c r="F231" i="17"/>
  <c r="P231" i="17"/>
  <c r="C232" i="17"/>
  <c r="L233" i="17"/>
  <c r="N216" i="17" s="1"/>
  <c r="T233" i="17"/>
  <c r="V233" i="17"/>
  <c r="T234" i="17"/>
  <c r="C234" i="17" s="1"/>
  <c r="T243" i="17"/>
  <c r="U243" i="17" s="1"/>
  <c r="X243" i="17"/>
  <c r="AE243" i="17" s="1"/>
  <c r="Y243" i="17"/>
  <c r="Z243" i="17"/>
  <c r="U252" i="17"/>
  <c r="V252" i="17"/>
  <c r="AD243" i="17"/>
  <c r="AD244" i="17" s="1"/>
  <c r="AD245" i="17" s="1"/>
  <c r="AD246" i="17" s="1"/>
  <c r="AD247" i="17" s="1"/>
  <c r="AD248" i="17" s="1"/>
  <c r="AD249" i="17" s="1"/>
  <c r="AD250" i="17" s="1"/>
  <c r="T244" i="17"/>
  <c r="V244" i="17" s="1"/>
  <c r="U244" i="17"/>
  <c r="X244" i="17"/>
  <c r="Y244" i="17" s="1"/>
  <c r="Z244" i="17"/>
  <c r="T245" i="17"/>
  <c r="V245" i="17" s="1"/>
  <c r="U245" i="17"/>
  <c r="X245" i="17"/>
  <c r="AE245" i="17" s="1"/>
  <c r="T246" i="17"/>
  <c r="V246" i="17" s="1"/>
  <c r="U246" i="17"/>
  <c r="X246" i="17"/>
  <c r="Y246" i="17"/>
  <c r="Z246" i="17"/>
  <c r="AE246" i="17"/>
  <c r="T247" i="17"/>
  <c r="V247" i="17" s="1"/>
  <c r="U247" i="17"/>
  <c r="X247" i="17"/>
  <c r="AE247" i="17" s="1"/>
  <c r="T248" i="17"/>
  <c r="V248" i="17" s="1"/>
  <c r="X248" i="17"/>
  <c r="Z248" i="17" s="1"/>
  <c r="Y248" i="17"/>
  <c r="T249" i="17"/>
  <c r="V249" i="17" s="1"/>
  <c r="U249" i="17"/>
  <c r="X249" i="17"/>
  <c r="AE249" i="17" s="1"/>
  <c r="Y249" i="17"/>
  <c r="Z249" i="17"/>
  <c r="T250" i="17"/>
  <c r="X250" i="17"/>
  <c r="AE250" i="17" s="1"/>
  <c r="Y250" i="17"/>
  <c r="Z250" i="17"/>
  <c r="T251" i="17"/>
  <c r="U251" i="17"/>
  <c r="V251" i="17"/>
  <c r="F252" i="17"/>
  <c r="P252" i="17"/>
  <c r="C253" i="17"/>
  <c r="L254" i="17"/>
  <c r="N237" i="17" s="1"/>
  <c r="T254" i="17"/>
  <c r="V254" i="17"/>
  <c r="T255" i="17"/>
  <c r="C255" i="17" s="1"/>
  <c r="T264" i="17"/>
  <c r="V264" i="17" s="1"/>
  <c r="U264" i="17"/>
  <c r="X264" i="17"/>
  <c r="Z264" i="17" s="1"/>
  <c r="U273" i="17"/>
  <c r="T273" i="17" s="1"/>
  <c r="AB264" i="17" s="1"/>
  <c r="AB265" i="17" s="1"/>
  <c r="AB266" i="17" s="1"/>
  <c r="AB267" i="17" s="1"/>
  <c r="AB268" i="17" s="1"/>
  <c r="AB269" i="17" s="1"/>
  <c r="AB270" i="17" s="1"/>
  <c r="AB271" i="17" s="1"/>
  <c r="V273" i="17"/>
  <c r="AC264" i="17"/>
  <c r="AC265" i="17" s="1"/>
  <c r="AC266" i="17" s="1"/>
  <c r="AC267" i="17" s="1"/>
  <c r="AC268" i="17" s="1"/>
  <c r="AC269" i="17" s="1"/>
  <c r="AC270" i="17" s="1"/>
  <c r="AC271" i="17" s="1"/>
  <c r="AD264" i="17"/>
  <c r="T265" i="17"/>
  <c r="X265" i="17"/>
  <c r="Y265" i="17" s="1"/>
  <c r="AD265" i="17"/>
  <c r="AD266" i="17" s="1"/>
  <c r="AD267" i="17" s="1"/>
  <c r="AD268" i="17" s="1"/>
  <c r="AD269" i="17" s="1"/>
  <c r="AD270" i="17" s="1"/>
  <c r="AD271" i="17" s="1"/>
  <c r="T266" i="17"/>
  <c r="U266" i="17" s="1"/>
  <c r="X266" i="17"/>
  <c r="AE266" i="17" s="1"/>
  <c r="T267" i="17"/>
  <c r="U267" i="17" s="1"/>
  <c r="V267" i="17"/>
  <c r="X267" i="17"/>
  <c r="Z267" i="17" s="1"/>
  <c r="T268" i="17"/>
  <c r="U268" i="17" s="1"/>
  <c r="V268" i="17"/>
  <c r="X268" i="17"/>
  <c r="T269" i="17"/>
  <c r="V269" i="17" s="1"/>
  <c r="X269" i="17"/>
  <c r="Y269" i="17" s="1"/>
  <c r="AE269" i="17"/>
  <c r="T270" i="17"/>
  <c r="V270" i="17" s="1"/>
  <c r="U270" i="17"/>
  <c r="X270" i="17"/>
  <c r="AE270" i="17" s="1"/>
  <c r="Y270" i="17"/>
  <c r="Z270" i="17"/>
  <c r="T271" i="17"/>
  <c r="U271" i="17" s="1"/>
  <c r="X271" i="17"/>
  <c r="AE271" i="17" s="1"/>
  <c r="T272" i="17"/>
  <c r="U272" i="17"/>
  <c r="V272" i="17"/>
  <c r="F273" i="17"/>
  <c r="P273" i="17"/>
  <c r="C274" i="17"/>
  <c r="L275" i="17"/>
  <c r="N258" i="17" s="1"/>
  <c r="T275" i="17"/>
  <c r="V275" i="17"/>
  <c r="T276" i="17"/>
  <c r="C276" i="17" s="1"/>
  <c r="T285" i="17"/>
  <c r="U285" i="17" s="1"/>
  <c r="V285" i="17"/>
  <c r="X285" i="17"/>
  <c r="Y285" i="17" s="1"/>
  <c r="U294" i="17"/>
  <c r="V294" i="17"/>
  <c r="AD285" i="17" s="1"/>
  <c r="AD286" i="17" s="1"/>
  <c r="AD287" i="17" s="1"/>
  <c r="AD288" i="17" s="1"/>
  <c r="AD289" i="17" s="1"/>
  <c r="AD290" i="17" s="1"/>
  <c r="AD291" i="17" s="1"/>
  <c r="AD292" i="17" s="1"/>
  <c r="T286" i="17"/>
  <c r="V286" i="17" s="1"/>
  <c r="U286" i="17"/>
  <c r="X286" i="17"/>
  <c r="Y286" i="17" s="1"/>
  <c r="T287" i="17"/>
  <c r="U287" i="17" s="1"/>
  <c r="X287" i="17"/>
  <c r="AE287" i="17" s="1"/>
  <c r="T288" i="17"/>
  <c r="U288" i="17" s="1"/>
  <c r="V288" i="17"/>
  <c r="X288" i="17"/>
  <c r="AE288" i="17" s="1"/>
  <c r="T289" i="17"/>
  <c r="U289" i="17" s="1"/>
  <c r="X289" i="17"/>
  <c r="T290" i="17"/>
  <c r="V290" i="17" s="1"/>
  <c r="X290" i="17"/>
  <c r="Y290" i="17" s="1"/>
  <c r="T291" i="17"/>
  <c r="V291" i="17" s="1"/>
  <c r="U291" i="17"/>
  <c r="X291" i="17"/>
  <c r="Y291" i="17"/>
  <c r="T292" i="17"/>
  <c r="V292" i="17" s="1"/>
  <c r="X292" i="17"/>
  <c r="T293" i="17"/>
  <c r="U293" i="17"/>
  <c r="V293" i="17"/>
  <c r="F294" i="17"/>
  <c r="P294" i="17"/>
  <c r="C295" i="17"/>
  <c r="L296" i="17"/>
  <c r="N279" i="17" s="1"/>
  <c r="T296" i="17"/>
  <c r="V296" i="17"/>
  <c r="T297" i="17"/>
  <c r="C297" i="17" s="1"/>
  <c r="X159" i="17"/>
  <c r="Y159" i="17" s="1"/>
  <c r="X160" i="17"/>
  <c r="Y160" i="17" s="1"/>
  <c r="Z160" i="17"/>
  <c r="X161" i="17"/>
  <c r="Y161" i="17" s="1"/>
  <c r="X162" i="17"/>
  <c r="Y162" i="17" s="1"/>
  <c r="Z162" i="17"/>
  <c r="X163" i="17"/>
  <c r="Y163" i="17" s="1"/>
  <c r="X164" i="17"/>
  <c r="Y164" i="17" s="1"/>
  <c r="X165" i="17"/>
  <c r="Z165" i="17" s="1"/>
  <c r="AE165" i="17"/>
  <c r="X166" i="17"/>
  <c r="AE166" i="17" s="1"/>
  <c r="C169" i="17"/>
  <c r="V168" i="17"/>
  <c r="AD159" i="17" s="1"/>
  <c r="AD160" i="17" s="1"/>
  <c r="U168" i="17"/>
  <c r="T168" i="17" s="1"/>
  <c r="AB159" i="17" s="1"/>
  <c r="AB160" i="17" s="1"/>
  <c r="AB161" i="17" s="1"/>
  <c r="AB162" i="17" s="1"/>
  <c r="AB163" i="17" s="1"/>
  <c r="AB164" i="17" s="1"/>
  <c r="AB165" i="17" s="1"/>
  <c r="AB166" i="17" s="1"/>
  <c r="P168" i="17"/>
  <c r="F168" i="17"/>
  <c r="T159" i="17"/>
  <c r="V159" i="17" s="1"/>
  <c r="T160" i="17"/>
  <c r="V160" i="17"/>
  <c r="U160" i="17"/>
  <c r="AD161" i="17"/>
  <c r="AD162" i="17"/>
  <c r="AD163" i="17" s="1"/>
  <c r="AD164" i="17"/>
  <c r="AD165" i="17" s="1"/>
  <c r="AD166" i="17" s="1"/>
  <c r="AC159" i="17"/>
  <c r="AC160" i="17" s="1"/>
  <c r="AC161" i="17" s="1"/>
  <c r="AC162" i="17" s="1"/>
  <c r="AC163" i="17" s="1"/>
  <c r="AC164" i="17" s="1"/>
  <c r="AC165" i="17" s="1"/>
  <c r="AC166" i="17" s="1"/>
  <c r="Z166" i="17"/>
  <c r="Y166" i="17"/>
  <c r="T166" i="17"/>
  <c r="U166" i="17" s="1"/>
  <c r="Y165" i="17"/>
  <c r="T165" i="17"/>
  <c r="V165" i="17" s="1"/>
  <c r="U165" i="17"/>
  <c r="T164" i="17"/>
  <c r="V164" i="17" s="1"/>
  <c r="T163" i="17"/>
  <c r="V163" i="17" s="1"/>
  <c r="T162" i="17"/>
  <c r="V162" i="17" s="1"/>
  <c r="T161" i="17"/>
  <c r="V161" i="17" s="1"/>
  <c r="X138" i="17"/>
  <c r="Z138" i="17" s="1"/>
  <c r="Y138" i="17"/>
  <c r="X139" i="17"/>
  <c r="Y139" i="17" s="1"/>
  <c r="X140" i="17"/>
  <c r="Y140" i="17" s="1"/>
  <c r="Z140" i="17"/>
  <c r="X141" i="17"/>
  <c r="Y141" i="17"/>
  <c r="Z141" i="17"/>
  <c r="X142" i="17"/>
  <c r="Y142" i="17" s="1"/>
  <c r="X143" i="17"/>
  <c r="AE143" i="17" s="1"/>
  <c r="X144" i="17"/>
  <c r="AE144" i="17"/>
  <c r="X145" i="17"/>
  <c r="AE145" i="17" s="1"/>
  <c r="C148" i="17"/>
  <c r="V147" i="17"/>
  <c r="U147" i="17"/>
  <c r="T147" i="17" s="1"/>
  <c r="AB138" i="17" s="1"/>
  <c r="AB139" i="17" s="1"/>
  <c r="AB140" i="17" s="1"/>
  <c r="AB141" i="17" s="1"/>
  <c r="AB142" i="17" s="1"/>
  <c r="AB143" i="17" s="1"/>
  <c r="AB144" i="17" s="1"/>
  <c r="AB145" i="17" s="1"/>
  <c r="P147" i="17"/>
  <c r="F147" i="17"/>
  <c r="T138" i="17"/>
  <c r="V138" i="17" s="1"/>
  <c r="T139" i="17"/>
  <c r="T140" i="17"/>
  <c r="U140" i="17" s="1"/>
  <c r="T141" i="17"/>
  <c r="V141" i="17" s="1"/>
  <c r="AD138" i="17"/>
  <c r="AD139" i="17" s="1"/>
  <c r="AD140" i="17" s="1"/>
  <c r="AD141" i="17" s="1"/>
  <c r="AD142" i="17" s="1"/>
  <c r="AD143" i="17" s="1"/>
  <c r="AD144" i="17" s="1"/>
  <c r="AD145" i="17" s="1"/>
  <c r="Z145" i="17"/>
  <c r="T145" i="17"/>
  <c r="U145" i="17" s="1"/>
  <c r="T144" i="17"/>
  <c r="V144" i="17" s="1"/>
  <c r="Y143" i="17"/>
  <c r="T143" i="17"/>
  <c r="T142" i="17"/>
  <c r="U142" i="17" s="1"/>
  <c r="X117" i="17"/>
  <c r="AE117" i="17" s="1"/>
  <c r="Y117" i="17"/>
  <c r="X118" i="17"/>
  <c r="Z118" i="17" s="1"/>
  <c r="X119" i="17"/>
  <c r="X120" i="17"/>
  <c r="AE120" i="17"/>
  <c r="X121" i="17"/>
  <c r="AE121" i="17"/>
  <c r="X122" i="17"/>
  <c r="Z122" i="17" s="1"/>
  <c r="AE122" i="17"/>
  <c r="X123" i="17"/>
  <c r="AE123" i="17" s="1"/>
  <c r="X124" i="17"/>
  <c r="AE124" i="17" s="1"/>
  <c r="C127" i="17"/>
  <c r="V126" i="17"/>
  <c r="U126" i="17"/>
  <c r="AC117" i="17" s="1"/>
  <c r="AC118" i="17" s="1"/>
  <c r="AC119" i="17" s="1"/>
  <c r="AC120" i="17" s="1"/>
  <c r="AC121" i="17" s="1"/>
  <c r="AC122" i="17" s="1"/>
  <c r="AC123" i="17" s="1"/>
  <c r="AC124" i="17" s="1"/>
  <c r="T126" i="17"/>
  <c r="AB117" i="17" s="1"/>
  <c r="AB118" i="17" s="1"/>
  <c r="AB119" i="17" s="1"/>
  <c r="AB120" i="17" s="1"/>
  <c r="AB121" i="17" s="1"/>
  <c r="AB122" i="17" s="1"/>
  <c r="AB123" i="17" s="1"/>
  <c r="AB124" i="17" s="1"/>
  <c r="P126" i="17"/>
  <c r="F126" i="17"/>
  <c r="T117" i="17"/>
  <c r="U117" i="17" s="1"/>
  <c r="T118" i="17"/>
  <c r="U118" i="17" s="1"/>
  <c r="AD117" i="17"/>
  <c r="AD118" i="17"/>
  <c r="AD119" i="17" s="1"/>
  <c r="AD120" i="17"/>
  <c r="AD121" i="17" s="1"/>
  <c r="AD122" i="17" s="1"/>
  <c r="AD123" i="17" s="1"/>
  <c r="AD124" i="17"/>
  <c r="Z124" i="17"/>
  <c r="Y124" i="17"/>
  <c r="T124" i="17"/>
  <c r="U124" i="17" s="1"/>
  <c r="Z123" i="17"/>
  <c r="Y123" i="17"/>
  <c r="T123" i="17"/>
  <c r="V123" i="17" s="1"/>
  <c r="U123" i="17"/>
  <c r="T122" i="17"/>
  <c r="U122" i="17" s="1"/>
  <c r="T121" i="17"/>
  <c r="V121" i="17" s="1"/>
  <c r="Z120" i="17"/>
  <c r="Y120" i="17"/>
  <c r="T120" i="17"/>
  <c r="U120" i="17" s="1"/>
  <c r="V120" i="17"/>
  <c r="T119" i="17"/>
  <c r="V119" i="17" s="1"/>
  <c r="U125" i="17"/>
  <c r="X96" i="17"/>
  <c r="AE96" i="17" s="1"/>
  <c r="X97" i="17"/>
  <c r="Z97" i="17" s="1"/>
  <c r="Y97" i="17"/>
  <c r="X98" i="17"/>
  <c r="Y98" i="17" s="1"/>
  <c r="X99" i="17"/>
  <c r="Y99" i="17" s="1"/>
  <c r="X100" i="17"/>
  <c r="Y100" i="17" s="1"/>
  <c r="AE100" i="17"/>
  <c r="X101" i="17"/>
  <c r="AE101" i="17" s="1"/>
  <c r="X102" i="17"/>
  <c r="AE102" i="17" s="1"/>
  <c r="X103" i="17"/>
  <c r="Z103" i="17" s="1"/>
  <c r="C106" i="17"/>
  <c r="V105" i="17"/>
  <c r="AD96" i="17" s="1"/>
  <c r="AD97" i="17" s="1"/>
  <c r="AD98" i="17" s="1"/>
  <c r="U105" i="17"/>
  <c r="P105" i="17"/>
  <c r="F105" i="17"/>
  <c r="T96" i="17"/>
  <c r="U96" i="17" s="1"/>
  <c r="T97" i="17"/>
  <c r="U97" i="17" s="1"/>
  <c r="AD99" i="17"/>
  <c r="AD100" i="17"/>
  <c r="AD101" i="17"/>
  <c r="AD102" i="17"/>
  <c r="AD103" i="17"/>
  <c r="Y103" i="17"/>
  <c r="T103" i="17"/>
  <c r="Z102" i="17"/>
  <c r="Y102" i="17"/>
  <c r="T102" i="17"/>
  <c r="V102" i="17" s="1"/>
  <c r="Z101" i="17"/>
  <c r="Y101" i="17"/>
  <c r="T101" i="17"/>
  <c r="V101" i="17" s="1"/>
  <c r="T100" i="17"/>
  <c r="U100" i="17" s="1"/>
  <c r="T99" i="17"/>
  <c r="U99" i="17" s="1"/>
  <c r="V99" i="17"/>
  <c r="T98" i="17"/>
  <c r="V98" i="17" s="1"/>
  <c r="T104" i="17"/>
  <c r="V104" i="17"/>
  <c r="U104" i="17"/>
  <c r="X75" i="17"/>
  <c r="Y75" i="17" s="1"/>
  <c r="X76" i="17"/>
  <c r="AE76" i="17" s="1"/>
  <c r="X77" i="17"/>
  <c r="Z77" i="17" s="1"/>
  <c r="AE77" i="17"/>
  <c r="X78" i="17"/>
  <c r="AE78" i="17" s="1"/>
  <c r="X79" i="17"/>
  <c r="Y79" i="17" s="1"/>
  <c r="AE79" i="17"/>
  <c r="X80" i="17"/>
  <c r="AE80" i="17" s="1"/>
  <c r="X81" i="17"/>
  <c r="Z81" i="17" s="1"/>
  <c r="X82" i="17"/>
  <c r="C85" i="17"/>
  <c r="V84" i="17"/>
  <c r="AD75" i="17" s="1"/>
  <c r="AD76" i="17" s="1"/>
  <c r="AD77" i="17" s="1"/>
  <c r="AD78" i="17" s="1"/>
  <c r="AD79" i="17" s="1"/>
  <c r="AD80" i="17" s="1"/>
  <c r="AD81" i="17" s="1"/>
  <c r="AD82" i="17" s="1"/>
  <c r="U84" i="17"/>
  <c r="AC75" i="17" s="1"/>
  <c r="AC76" i="17" s="1"/>
  <c r="AC77" i="17" s="1"/>
  <c r="AC78" i="17" s="1"/>
  <c r="AC79" i="17" s="1"/>
  <c r="AC80" i="17" s="1"/>
  <c r="AC81" i="17" s="1"/>
  <c r="AC82" i="17" s="1"/>
  <c r="T84" i="17"/>
  <c r="AB75" i="17" s="1"/>
  <c r="AB76" i="17" s="1"/>
  <c r="AB77" i="17" s="1"/>
  <c r="AB78" i="17" s="1"/>
  <c r="AB79" i="17" s="1"/>
  <c r="AB80" i="17" s="1"/>
  <c r="AB81" i="17" s="1"/>
  <c r="AB82" i="17" s="1"/>
  <c r="P84" i="17"/>
  <c r="F84" i="17"/>
  <c r="T75" i="17"/>
  <c r="U75" i="17" s="1"/>
  <c r="T82" i="17"/>
  <c r="V82" i="17" s="1"/>
  <c r="T81" i="17"/>
  <c r="V81" i="17" s="1"/>
  <c r="T80" i="17"/>
  <c r="U80" i="17" s="1"/>
  <c r="Z79" i="17"/>
  <c r="T79" i="17"/>
  <c r="V79" i="17" s="1"/>
  <c r="Z78" i="17"/>
  <c r="Y78" i="17"/>
  <c r="T78" i="17"/>
  <c r="T77" i="17"/>
  <c r="V77" i="17" s="1"/>
  <c r="T76" i="17"/>
  <c r="T83" i="17"/>
  <c r="V86" i="17" s="1"/>
  <c r="U83" i="17"/>
  <c r="X54" i="17"/>
  <c r="AE54" i="17" s="1"/>
  <c r="C64" i="17"/>
  <c r="V63" i="17"/>
  <c r="U63" i="17"/>
  <c r="T63" i="17" s="1"/>
  <c r="AB54" i="17" s="1"/>
  <c r="AB55" i="17" s="1"/>
  <c r="AB56" i="17" s="1"/>
  <c r="AB57" i="17" s="1"/>
  <c r="AB58" i="17" s="1"/>
  <c r="AB59" i="17" s="1"/>
  <c r="AB60" i="17" s="1"/>
  <c r="AB61" i="17" s="1"/>
  <c r="P63" i="17"/>
  <c r="F63" i="17"/>
  <c r="T54" i="17"/>
  <c r="U54" i="17" s="1"/>
  <c r="T55" i="17"/>
  <c r="V55" i="17" s="1"/>
  <c r="T56" i="17"/>
  <c r="V56" i="17"/>
  <c r="T57" i="17"/>
  <c r="V57" i="17" s="1"/>
  <c r="T58" i="17"/>
  <c r="V58" i="17" s="1"/>
  <c r="T59" i="17"/>
  <c r="U59" i="17" s="1"/>
  <c r="T60" i="17"/>
  <c r="U60" i="17" s="1"/>
  <c r="T61" i="17"/>
  <c r="V61" i="17" s="1"/>
  <c r="V62" i="17"/>
  <c r="U56" i="17"/>
  <c r="U57" i="17"/>
  <c r="U58" i="17"/>
  <c r="U62" i="17"/>
  <c r="T62" i="17"/>
  <c r="X61" i="17"/>
  <c r="AE61" i="17" s="1"/>
  <c r="AD54" i="17"/>
  <c r="AD55" i="17" s="1"/>
  <c r="AD56" i="17" s="1"/>
  <c r="AD57" i="17" s="1"/>
  <c r="AD58" i="17" s="1"/>
  <c r="AD59" i="17" s="1"/>
  <c r="AD60" i="17" s="1"/>
  <c r="AD61" i="17" s="1"/>
  <c r="X60" i="17"/>
  <c r="AE60" i="17" s="1"/>
  <c r="X59" i="17"/>
  <c r="Y59" i="17" s="1"/>
  <c r="Z59" i="17"/>
  <c r="X58" i="17"/>
  <c r="Y58" i="17" s="1"/>
  <c r="Z58" i="17"/>
  <c r="X57" i="17"/>
  <c r="Z57" i="17" s="1"/>
  <c r="AE57" i="17"/>
  <c r="X56" i="17"/>
  <c r="AE56" i="17" s="1"/>
  <c r="X55" i="17"/>
  <c r="Y55" i="17" s="1"/>
  <c r="AE55" i="17"/>
  <c r="V42" i="17"/>
  <c r="U42" i="17"/>
  <c r="T42" i="17" s="1"/>
  <c r="AB33" i="17" s="1"/>
  <c r="AB34" i="17" s="1"/>
  <c r="AB35" i="17" s="1"/>
  <c r="AB36" i="17" s="1"/>
  <c r="AB37" i="17" s="1"/>
  <c r="AB38" i="17" s="1"/>
  <c r="AB39" i="17" s="1"/>
  <c r="AB40" i="17" s="1"/>
  <c r="T33" i="17"/>
  <c r="V33" i="17" s="1"/>
  <c r="X33" i="17"/>
  <c r="Y33" i="17" s="1"/>
  <c r="C43" i="17"/>
  <c r="P42" i="17"/>
  <c r="F42" i="17"/>
  <c r="T34" i="17"/>
  <c r="V34" i="17" s="1"/>
  <c r="T35" i="17"/>
  <c r="V35" i="17" s="1"/>
  <c r="T36" i="17"/>
  <c r="U36" i="17" s="1"/>
  <c r="V36" i="17"/>
  <c r="T37" i="17"/>
  <c r="U37" i="17" s="1"/>
  <c r="T38" i="17"/>
  <c r="U38" i="17" s="1"/>
  <c r="T39" i="17"/>
  <c r="U39" i="17" s="1"/>
  <c r="T40" i="17"/>
  <c r="U40" i="17" s="1"/>
  <c r="V40" i="17"/>
  <c r="X40" i="17"/>
  <c r="Z40" i="17" s="1"/>
  <c r="AD33" i="17"/>
  <c r="AD34" i="17"/>
  <c r="AD35" i="17" s="1"/>
  <c r="AD36" i="17" s="1"/>
  <c r="AD37" i="17" s="1"/>
  <c r="AD38" i="17" s="1"/>
  <c r="AD39" i="17" s="1"/>
  <c r="AD40" i="17" s="1"/>
  <c r="X39" i="17"/>
  <c r="X38" i="17"/>
  <c r="AE38" i="17" s="1"/>
  <c r="X37" i="17"/>
  <c r="X36" i="17"/>
  <c r="Z36" i="17" s="1"/>
  <c r="X35" i="17"/>
  <c r="X34" i="17"/>
  <c r="Z34" i="17" s="1"/>
  <c r="AE97" i="17"/>
  <c r="AE75" i="17"/>
  <c r="V107" i="17"/>
  <c r="AE98" i="17"/>
  <c r="T107" i="17"/>
  <c r="T108" i="17"/>
  <c r="C108" i="17" s="1"/>
  <c r="L107" i="17"/>
  <c r="N90" i="17" s="1"/>
  <c r="V65" i="17"/>
  <c r="T65" i="17"/>
  <c r="T66" i="17"/>
  <c r="C66" i="17" s="1"/>
  <c r="L65" i="17"/>
  <c r="N48" i="17" s="1"/>
  <c r="AB13" i="17" l="1"/>
  <c r="AB14" i="17" s="1"/>
  <c r="AB15" i="17" s="1"/>
  <c r="AB16" i="17" s="1"/>
  <c r="AB17" i="17" s="1"/>
  <c r="AB18" i="17" s="1"/>
  <c r="AB19" i="17" s="1"/>
  <c r="AE12" i="17"/>
  <c r="T294" i="17"/>
  <c r="AB285" i="17" s="1"/>
  <c r="AB286" i="17" s="1"/>
  <c r="AB287" i="17" s="1"/>
  <c r="AB288" i="17" s="1"/>
  <c r="AB289" i="17" s="1"/>
  <c r="AB290" i="17" s="1"/>
  <c r="AB291" i="17" s="1"/>
  <c r="AB292" i="17" s="1"/>
  <c r="V271" i="17"/>
  <c r="AE244" i="17"/>
  <c r="V201" i="17"/>
  <c r="U17" i="17"/>
  <c r="V39" i="17"/>
  <c r="AC54" i="17"/>
  <c r="AC55" i="17" s="1"/>
  <c r="AC56" i="17" s="1"/>
  <c r="AC57" i="17" s="1"/>
  <c r="AC58" i="17" s="1"/>
  <c r="AC59" i="17" s="1"/>
  <c r="AC60" i="17" s="1"/>
  <c r="AC61" i="17" s="1"/>
  <c r="Z98" i="17"/>
  <c r="U292" i="17"/>
  <c r="U290" i="17"/>
  <c r="Z285" i="17"/>
  <c r="AE265" i="17"/>
  <c r="U79" i="17"/>
  <c r="AC138" i="17"/>
  <c r="AC139" i="17" s="1"/>
  <c r="AC140" i="17" s="1"/>
  <c r="AE229" i="17"/>
  <c r="Z208" i="17"/>
  <c r="Y19" i="17"/>
  <c r="V38" i="17"/>
  <c r="V117" i="17"/>
  <c r="V125" i="17" s="1"/>
  <c r="Z245" i="17"/>
  <c r="V181" i="17"/>
  <c r="Y57" i="17"/>
  <c r="V100" i="17"/>
  <c r="V96" i="17"/>
  <c r="V287" i="17"/>
  <c r="AE248" i="17"/>
  <c r="V243" i="17"/>
  <c r="Z229" i="17"/>
  <c r="T210" i="17"/>
  <c r="AB201" i="17" s="1"/>
  <c r="AB202" i="17" s="1"/>
  <c r="AB203" i="17" s="1"/>
  <c r="AB204" i="17" s="1"/>
  <c r="AB205" i="17" s="1"/>
  <c r="AB206" i="17" s="1"/>
  <c r="AB207" i="17" s="1"/>
  <c r="AB208" i="17" s="1"/>
  <c r="AE36" i="17"/>
  <c r="V59" i="17"/>
  <c r="V80" i="17"/>
  <c r="V122" i="17"/>
  <c r="AC285" i="17"/>
  <c r="AC286" i="17" s="1"/>
  <c r="AC287" i="17" s="1"/>
  <c r="AC288" i="17" s="1"/>
  <c r="AC289" i="17" s="1"/>
  <c r="AC290" i="17" s="1"/>
  <c r="AC291" i="17" s="1"/>
  <c r="AC292" i="17" s="1"/>
  <c r="Z265" i="17"/>
  <c r="Y264" i="17"/>
  <c r="Z227" i="17"/>
  <c r="U206" i="17"/>
  <c r="U185" i="17"/>
  <c r="AE19" i="17"/>
  <c r="V124" i="17"/>
  <c r="V118" i="17"/>
  <c r="AE185" i="17"/>
  <c r="AE286" i="17"/>
  <c r="AE285" i="17"/>
  <c r="AE290" i="17"/>
  <c r="Z287" i="17"/>
  <c r="V289" i="17"/>
  <c r="Y287" i="17"/>
  <c r="Z286" i="17"/>
  <c r="Z290" i="17"/>
  <c r="Z269" i="17"/>
  <c r="V266" i="17"/>
  <c r="Z271" i="17"/>
  <c r="Y267" i="17"/>
  <c r="Y271" i="17"/>
  <c r="Y245" i="17"/>
  <c r="AE254" i="17"/>
  <c r="AE227" i="17"/>
  <c r="Z222" i="17"/>
  <c r="Y222" i="17"/>
  <c r="Y228" i="17"/>
  <c r="V222" i="17"/>
  <c r="V228" i="17"/>
  <c r="U227" i="17"/>
  <c r="AE223" i="17"/>
  <c r="V225" i="17"/>
  <c r="Z205" i="17"/>
  <c r="V208" i="17"/>
  <c r="AE206" i="17"/>
  <c r="Z202" i="17"/>
  <c r="Z186" i="17"/>
  <c r="Y186" i="17"/>
  <c r="V183" i="17"/>
  <c r="V188" i="17" s="1"/>
  <c r="V191" i="17" s="1"/>
  <c r="Y181" i="17"/>
  <c r="U161" i="17"/>
  <c r="V166" i="17"/>
  <c r="AE164" i="17"/>
  <c r="Z164" i="17"/>
  <c r="U144" i="17"/>
  <c r="Z143" i="17"/>
  <c r="V145" i="17"/>
  <c r="Z142" i="17"/>
  <c r="Z117" i="17"/>
  <c r="U121" i="17"/>
  <c r="Y118" i="17"/>
  <c r="Z100" i="17"/>
  <c r="V97" i="17"/>
  <c r="AE99" i="17"/>
  <c r="U101" i="17"/>
  <c r="AE103" i="17"/>
  <c r="AE107" i="17" s="1"/>
  <c r="U102" i="17"/>
  <c r="U81" i="17"/>
  <c r="Y81" i="17"/>
  <c r="V75" i="17"/>
  <c r="V83" i="17" s="1"/>
  <c r="U77" i="17"/>
  <c r="U82" i="17"/>
  <c r="AE81" i="17"/>
  <c r="Z75" i="17"/>
  <c r="AE59" i="17"/>
  <c r="V60" i="17"/>
  <c r="Y60" i="17"/>
  <c r="U61" i="17"/>
  <c r="V54" i="17"/>
  <c r="AE58" i="17"/>
  <c r="Z60" i="17"/>
  <c r="Y56" i="17"/>
  <c r="Z56" i="17"/>
  <c r="Y61" i="17"/>
  <c r="Z61" i="17"/>
  <c r="Y34" i="17"/>
  <c r="AE40" i="17"/>
  <c r="Y40" i="17"/>
  <c r="V37" i="17"/>
  <c r="V41" i="17" s="1"/>
  <c r="Y36" i="17"/>
  <c r="U35" i="17"/>
  <c r="U13" i="17"/>
  <c r="Z13" i="17"/>
  <c r="AE13" i="17" s="1"/>
  <c r="T20" i="17"/>
  <c r="V15" i="17"/>
  <c r="V14" i="17"/>
  <c r="Y15" i="17"/>
  <c r="Z15" i="17"/>
  <c r="Z18" i="17"/>
  <c r="V19" i="17"/>
  <c r="AE18" i="17"/>
  <c r="J71" i="18"/>
  <c r="U180" i="17"/>
  <c r="U188" i="17" s="1"/>
  <c r="V167" i="17"/>
  <c r="U159" i="17"/>
  <c r="Z33" i="17"/>
  <c r="V140" i="17"/>
  <c r="U33" i="17"/>
  <c r="AE139" i="17"/>
  <c r="V103" i="17"/>
  <c r="U103" i="17"/>
  <c r="Y119" i="17"/>
  <c r="Z119" i="17"/>
  <c r="Z187" i="17"/>
  <c r="AE187" i="17"/>
  <c r="V12" i="17"/>
  <c r="U12" i="17"/>
  <c r="AE39" i="17"/>
  <c r="Z39" i="17"/>
  <c r="Y39" i="17"/>
  <c r="U203" i="17"/>
  <c r="V203" i="17"/>
  <c r="Z99" i="17"/>
  <c r="U139" i="17"/>
  <c r="V139" i="17"/>
  <c r="Z292" i="17"/>
  <c r="AE292" i="17"/>
  <c r="AE224" i="17"/>
  <c r="Y224" i="17"/>
  <c r="Z224" i="17"/>
  <c r="T252" i="17"/>
  <c r="AB243" i="17" s="1"/>
  <c r="AB244" i="17" s="1"/>
  <c r="AB245" i="17" s="1"/>
  <c r="AB246" i="17" s="1"/>
  <c r="AB247" i="17" s="1"/>
  <c r="AB248" i="17" s="1"/>
  <c r="AB249" i="17" s="1"/>
  <c r="AB250" i="17" s="1"/>
  <c r="AC243" i="17"/>
  <c r="AC244" i="17" s="1"/>
  <c r="AC245" i="17" s="1"/>
  <c r="AC246" i="17" s="1"/>
  <c r="AC247" i="17" s="1"/>
  <c r="AC248" i="17" s="1"/>
  <c r="AC249" i="17" s="1"/>
  <c r="AC250" i="17" s="1"/>
  <c r="U76" i="17"/>
  <c r="V76" i="17"/>
  <c r="Y80" i="17"/>
  <c r="Y289" i="17"/>
  <c r="Z289" i="17"/>
  <c r="AE289" i="17"/>
  <c r="Y268" i="17"/>
  <c r="Z268" i="17"/>
  <c r="Y180" i="17"/>
  <c r="AE180" i="17"/>
  <c r="Z180" i="17"/>
  <c r="Y14" i="17"/>
  <c r="Z14" i="17"/>
  <c r="Z80" i="17"/>
  <c r="V265" i="17"/>
  <c r="U265" i="17"/>
  <c r="Y225" i="17"/>
  <c r="Z225" i="17"/>
  <c r="AE138" i="17"/>
  <c r="AE37" i="17"/>
  <c r="Y37" i="17"/>
  <c r="Z37" i="17"/>
  <c r="AE82" i="17"/>
  <c r="Y82" i="17"/>
  <c r="Z82" i="17"/>
  <c r="U98" i="17"/>
  <c r="Y122" i="17"/>
  <c r="AE264" i="17"/>
  <c r="Z183" i="17"/>
  <c r="AE183" i="17"/>
  <c r="Y38" i="17"/>
  <c r="AC33" i="17"/>
  <c r="AC34" i="17" s="1"/>
  <c r="AC35" i="17" s="1"/>
  <c r="AC36" i="17" s="1"/>
  <c r="AC37" i="17" s="1"/>
  <c r="AC38" i="17" s="1"/>
  <c r="AC39" i="17" s="1"/>
  <c r="AC40" i="17" s="1"/>
  <c r="Z121" i="17"/>
  <c r="Y121" i="17"/>
  <c r="U141" i="17"/>
  <c r="Y144" i="17"/>
  <c r="Z144" i="17"/>
  <c r="AE291" i="17"/>
  <c r="Z291" i="17"/>
  <c r="AE267" i="17"/>
  <c r="Y226" i="17"/>
  <c r="Z226" i="17"/>
  <c r="Z76" i="17"/>
  <c r="AC96" i="17"/>
  <c r="AC97" i="17" s="1"/>
  <c r="AC98" i="17" s="1"/>
  <c r="AC99" i="17" s="1"/>
  <c r="AC100" i="17" s="1"/>
  <c r="AC101" i="17" s="1"/>
  <c r="AC102" i="17" s="1"/>
  <c r="AC103" i="17" s="1"/>
  <c r="T105" i="17"/>
  <c r="AB96" i="17" s="1"/>
  <c r="AB97" i="17" s="1"/>
  <c r="AB98" i="17" s="1"/>
  <c r="AB99" i="17" s="1"/>
  <c r="AB100" i="17" s="1"/>
  <c r="AB101" i="17" s="1"/>
  <c r="AB102" i="17" s="1"/>
  <c r="AB103" i="17" s="1"/>
  <c r="Z96" i="17"/>
  <c r="U138" i="17"/>
  <c r="Z288" i="17"/>
  <c r="AE268" i="17"/>
  <c r="Z266" i="17"/>
  <c r="V226" i="17"/>
  <c r="Y204" i="17"/>
  <c r="AE204" i="17"/>
  <c r="AE119" i="17"/>
  <c r="Z38" i="17"/>
  <c r="Y77" i="17"/>
  <c r="Y35" i="17"/>
  <c r="Z35" i="17"/>
  <c r="AE35" i="17"/>
  <c r="AE65" i="17"/>
  <c r="V78" i="17"/>
  <c r="U78" i="17"/>
  <c r="Y76" i="17"/>
  <c r="Y96" i="17"/>
  <c r="U143" i="17"/>
  <c r="V143" i="17"/>
  <c r="Y145" i="17"/>
  <c r="Y292" i="17"/>
  <c r="Y288" i="17"/>
  <c r="Y266" i="17"/>
  <c r="U250" i="17"/>
  <c r="V250" i="17"/>
  <c r="U248" i="17"/>
  <c r="T231" i="17"/>
  <c r="AB222" i="17" s="1"/>
  <c r="AB223" i="17" s="1"/>
  <c r="AB224" i="17" s="1"/>
  <c r="AB225" i="17" s="1"/>
  <c r="AB226" i="17" s="1"/>
  <c r="AB227" i="17" s="1"/>
  <c r="AB228" i="17" s="1"/>
  <c r="AB229" i="17" s="1"/>
  <c r="AC222" i="17"/>
  <c r="AC223" i="17" s="1"/>
  <c r="AC224" i="17" s="1"/>
  <c r="AC225" i="17" s="1"/>
  <c r="AC226" i="17" s="1"/>
  <c r="AC227" i="17" s="1"/>
  <c r="AC228" i="17" s="1"/>
  <c r="AC229" i="17" s="1"/>
  <c r="Y187" i="17"/>
  <c r="U186" i="17"/>
  <c r="V186" i="17"/>
  <c r="Z184" i="17"/>
  <c r="AE184" i="17"/>
  <c r="Y16" i="17"/>
  <c r="AE16" i="17"/>
  <c r="Z16" i="17"/>
  <c r="Z139" i="17"/>
  <c r="U269" i="17"/>
  <c r="Y247" i="17"/>
  <c r="Z247" i="17"/>
  <c r="Y182" i="17"/>
  <c r="AE182" i="17"/>
  <c r="U55" i="17"/>
  <c r="Z54" i="17"/>
  <c r="Z55" i="17"/>
  <c r="Y54" i="17"/>
  <c r="T86" i="17"/>
  <c r="T87" i="17"/>
  <c r="U119" i="17"/>
  <c r="T125" i="17"/>
  <c r="V128" i="17" s="1"/>
  <c r="AE118" i="17"/>
  <c r="U164" i="17"/>
  <c r="AE162" i="17"/>
  <c r="Z159" i="17"/>
  <c r="U163" i="17"/>
  <c r="T167" i="17"/>
  <c r="AE160" i="17"/>
  <c r="AE159" i="17"/>
  <c r="AE161" i="17"/>
  <c r="U162" i="17"/>
  <c r="Z163" i="17"/>
  <c r="AE163" i="17" s="1"/>
  <c r="Z161" i="17"/>
  <c r="AE181" i="17"/>
  <c r="Y205" i="17"/>
  <c r="AE202" i="17"/>
  <c r="V205" i="17"/>
  <c r="Z201" i="17"/>
  <c r="Z203" i="17"/>
  <c r="AE203" i="17" s="1"/>
  <c r="AE201" i="17"/>
  <c r="V204" i="17"/>
  <c r="V209" i="17" s="1"/>
  <c r="V212" i="17" s="1"/>
  <c r="Y203" i="17"/>
  <c r="J61" i="18"/>
  <c r="J60" i="18" s="1"/>
  <c r="T40" i="18"/>
  <c r="W40" i="18"/>
  <c r="V142" i="17"/>
  <c r="T146" i="17"/>
  <c r="AE34" i="17"/>
  <c r="T45" i="18"/>
  <c r="N49" i="18"/>
  <c r="U49" i="18" s="1"/>
  <c r="T41" i="17"/>
  <c r="U34" i="17"/>
  <c r="AB71" i="18" l="1"/>
  <c r="AE275" i="17"/>
  <c r="AE86" i="17"/>
  <c r="W60" i="18"/>
  <c r="AE296" i="17"/>
  <c r="AE233" i="17"/>
  <c r="U146" i="17"/>
  <c r="U20" i="17"/>
  <c r="AE23" i="17"/>
  <c r="V20" i="17"/>
  <c r="AE191" i="17"/>
  <c r="T191" i="17" s="1"/>
  <c r="T192" i="17" s="1"/>
  <c r="U167" i="17"/>
  <c r="V170" i="17" s="1"/>
  <c r="U41" i="17"/>
  <c r="V44" i="17" s="1"/>
  <c r="V146" i="17"/>
  <c r="V149" i="17" s="1"/>
  <c r="AE33" i="17"/>
  <c r="AE44" i="17" s="1"/>
  <c r="AE128" i="17"/>
  <c r="AC141" i="17"/>
  <c r="AE140" i="17"/>
  <c r="L86" i="17"/>
  <c r="N69" i="17" s="1"/>
  <c r="C87" i="17"/>
  <c r="T128" i="17"/>
  <c r="T129" i="17"/>
  <c r="AE170" i="17"/>
  <c r="AE212" i="17"/>
  <c r="T212" i="17" s="1"/>
  <c r="P49" i="18"/>
  <c r="W64" i="18" s="1"/>
  <c r="T49" i="18"/>
  <c r="V23" i="17" l="1"/>
  <c r="T23" i="17" s="1"/>
  <c r="T24" i="17" s="1"/>
  <c r="L23" i="17" s="1"/>
  <c r="N6" i="17" s="1"/>
  <c r="C192" i="17"/>
  <c r="L191" i="17"/>
  <c r="N174" i="17" s="1"/>
  <c r="T44" i="17"/>
  <c r="T45" i="17" s="1"/>
  <c r="C45" i="17" s="1"/>
  <c r="AC142" i="17"/>
  <c r="AE141" i="17"/>
  <c r="C129" i="17"/>
  <c r="L128" i="17"/>
  <c r="N111" i="17" s="1"/>
  <c r="T170" i="17"/>
  <c r="T171" i="17" s="1"/>
  <c r="T213" i="17"/>
  <c r="W49" i="18"/>
  <c r="W62" i="18" s="1"/>
  <c r="L44" i="17" l="1"/>
  <c r="N27" i="17" s="1"/>
  <c r="AC143" i="17"/>
  <c r="AC144" i="17" s="1"/>
  <c r="AC145" i="17" s="1"/>
  <c r="AE142" i="17"/>
  <c r="AE149" i="17" s="1"/>
  <c r="T149" i="17" s="1"/>
  <c r="T150" i="17" s="1"/>
  <c r="C171" i="17"/>
  <c r="L170" i="17"/>
  <c r="N153" i="17" s="1"/>
  <c r="C213" i="17"/>
  <c r="L212" i="17"/>
  <c r="N195" i="17" s="1"/>
  <c r="L149" i="17" l="1"/>
  <c r="N132" i="17" s="1"/>
  <c r="C150" i="17"/>
  <c r="T33" i="18"/>
  <c r="S67" i="18" s="1"/>
  <c r="S66" i="18" s="1"/>
  <c r="L60" i="18" s="1"/>
  <c r="T60" i="18" l="1"/>
  <c r="T62" i="18" s="1"/>
  <c r="T67" i="18" s="1"/>
  <c r="U60" i="18"/>
  <c r="U62" i="18" s="1"/>
  <c r="U67" i="18" s="1"/>
  <c r="U68" i="18" s="1"/>
  <c r="R72" i="18" s="1"/>
  <c r="N66" i="18" l="1"/>
  <c r="U66" i="18"/>
  <c r="T70" i="18"/>
  <c r="W70" i="18" s="1"/>
  <c r="T68" i="18"/>
  <c r="T66" i="18" s="1"/>
  <c r="W66" i="18" l="1"/>
  <c r="D13" i="24"/>
  <c r="A14" i="24" s="1"/>
  <c r="J70" i="18"/>
  <c r="R71" i="18" s="1"/>
  <c r="N71" i="18" s="1"/>
  <c r="W2" i="18" l="1"/>
  <c r="B75" i="18"/>
  <c r="AC7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Čejka</author>
    <author>Kotěra Martin</author>
  </authors>
  <commentList>
    <comment ref="W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Celé roky (např. 2000, 1986, apod.)
</t>
        </r>
      </text>
    </comment>
    <comment ref="W6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běžně 18 - 20°C
možnost snížit dle průměru návrhových teplot (např. temperovaná garáž) - váženým poměrem plochy obálky budovy</t>
        </r>
      </text>
    </comment>
    <comment ref="W7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chladné oblasti -18 °C
střední oblasti -15 °C
teplejší oblasti -13 °C</t>
        </r>
      </text>
    </comment>
    <comment ref="W8" authorId="1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vnější půdorysná plocha všech prostorů s upravovaným vnitřním prostředím ve všech podlažích budovy nebo její ucelené části
viz zákon č. 406/2000 Sb.</t>
        </r>
      </text>
    </comment>
    <comment ref="W10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zjednodušeno uvažováno jako energeticky vztažná plocha * 85% * 2,5 m světlé výšky místností</t>
        </r>
      </text>
    </comment>
    <comment ref="W12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4,5 h-1</t>
        </r>
        <r>
          <rPr>
            <b/>
            <sz val="9"/>
            <color indexed="81"/>
            <rFont val="Tahoma"/>
            <family val="2"/>
            <charset val="238"/>
          </rPr>
          <t xml:space="preserve">                    </t>
        </r>
        <r>
          <rPr>
            <sz val="9"/>
            <color indexed="81"/>
            <rFont val="Tahoma"/>
            <family val="2"/>
            <charset val="238"/>
          </rPr>
          <t>bez renovace, původní okna
2 - 4,5 h-1               dílčí renovace, výměna části oken
1,5 -2,0 h-1             komplexní renovace, nová těsná okna
méně než 1,5 h-1     komplexní renovace, nová těsná okna, pasivní domy</t>
        </r>
      </text>
    </comment>
    <comment ref="W13" authorId="1" shapeId="0" xr:uid="{10DE3BDC-A446-4AAB-991D-35897D1B4DB6}">
      <text>
        <r>
          <rPr>
            <sz val="9"/>
            <color indexed="81"/>
            <rFont val="Tahoma"/>
            <family val="2"/>
            <charset val="238"/>
          </rPr>
          <t>Pro byt a obytné zóny použijte hodnotu 0,50</t>
        </r>
      </text>
    </comment>
    <comment ref="W14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0% - bez rekuperace
30% - repuperace v polovině ob jemu domu
50% - lokální VZT jednotky v celém objemu
70% - centrální systém v celém objemu
85% - centrální velmi účinný systém v celém objemu</t>
        </r>
      </text>
    </comment>
    <comment ref="H30" authorId="1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Použije se v případech, kdy danou nevyhovující konstrukci nelze dodatečně zateplit, např. by zateplení přesahovalo na cizí pozemek nebo památková ochrana.
V takovém případě vyplňte "</t>
        </r>
        <r>
          <rPr>
            <b/>
            <sz val="9"/>
            <color indexed="81"/>
            <rFont val="Tahoma"/>
            <family val="2"/>
            <charset val="238"/>
          </rPr>
          <t>x</t>
        </r>
        <r>
          <rPr>
            <sz val="9"/>
            <color indexed="81"/>
            <rFont val="Tahoma"/>
            <family val="2"/>
            <charset val="238"/>
          </rPr>
          <t>"</t>
        </r>
      </text>
    </comment>
    <comment ref="L33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orientační hodnoty pro rychlý výpočet
nezateplené konstrukce: 
- kamenné                    1,8 - 2,5 W/m2.K
- cihelné                       1,1- 1,7 W/m2.K
- cihly therm                 0,38 - 0,60 W/m2.K (nutný výpočet)
- plynosilikátové            0,60 - 1,1 W/m2.K
zateplené konstrukce:  nutný podrobný výpočet
- do 50 mm                   0,55 - 0,80 W/m2.K
- 50 -100 mm                0,35 - 0,60 W/m2.K
- nad 100 mm               méně než 0,35 W/m2.K</t>
        </r>
      </text>
    </comment>
    <comment ref="L40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orientační hodnoty pro rychlý výpočet
nezateplené konstrukce:  0,75 - 1,1 W/m2.K
zateplené konstrukce:
- izolace 50 mm              0,75 - 0,90 W/m2.K
- izolace mezi krokvemi    0,50 - 0,75 W/m2.K
- izolace mezi krokvemi+ 0,30 - 0,50 W/m2.K
- moderní střechy            méně než 0,24 W/m2.K</t>
        </r>
      </text>
    </comment>
    <comment ref="L4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orientační hodnoty pro rychlý výpočet
nezateplené konstrukce: 
- ŽB strop, keramický (např. hurdis)             1,6 až 3,0 W/m2.K
- dřevěný                                                      0,86 až 1,6 W/m2.K
zateplené konstrukce: nutno stanovit podrobným výpočtem</t>
        </r>
      </text>
    </comment>
    <comment ref="L45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orientační hodnoty pro rychlý výpočet
nezateplené konstrukce             2,5 až 3,0 W/m2.K
ostatní nutno doložit podrobným výpočtem</t>
        </r>
      </text>
    </comment>
    <comment ref="L4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orientační hodnoty pro rychlý výpočet
nezateplené konstrukce             2,5 až 3,0 W/m2.K
ostatní nutno doložit podrobným výpočtem</t>
        </r>
      </text>
    </comment>
    <comment ref="L53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 xml:space="preserve">orientační hodnoty pro rychlý výpočet
původní okna                                              2,5 W/m2.K
nová okna s dvojsklem (před 2000)           1,6 - 1,8 W/m2.K
nová okna s dvojsklem (po roce 2000)      1,2 - 1,4 W/m2.K
nová špaletová okna                                  1,2 - 1,4 W/m2.K
nová okna s trojsklem                                 0,9 - 1,0 W/m2.K
nová okna s trojsklem (vyšší třída)             0,7 - 0,9 W/m2.K
</t>
        </r>
      </text>
    </comment>
    <comment ref="L57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orientační hodnoty pro rychlý výpočet
původní dveře                                              2,5 - 4,0 W/m2.K
nové izolační dvěře                                      1,1 - 1,7 W/m2.K
nové izolační dvěře (vyšší třída)                  0,9 - 1,1 W/m2.K</t>
        </r>
      </text>
    </comment>
    <comment ref="L60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Zadáno dle podle úrovně obálky budovy
0,05 - 0,10      nezateplené budovy, neřešné vazby
0,03 - 0,04      běžně zateplené, tepelné mosty
0,03 - 0,02      nadstandardní zateplení, bez tepelných mostů</t>
        </r>
      </text>
    </comment>
    <comment ref="AB70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koeficient poměru výkonu otopné soustavy (55°C) a tepelných ztrát … reálně snižuje teplotní spád</t>
        </r>
      </text>
    </comment>
    <comment ref="R72" authorId="1" shapeId="0" xr:uid="{EE928453-16FC-4B5D-9925-2E8256EAFFDC}">
      <text>
        <r>
          <rPr>
            <sz val="9"/>
            <color indexed="81"/>
            <rFont val="Tahoma"/>
            <family val="2"/>
            <charset val="238"/>
          </rPr>
          <t xml:space="preserve">Pro splnění podmínky má být průměrný součinitel  prostupu tepla Uem nejvýše roven dvojnásobku referenční hodnoty stanovené dle vyhl. č. 264/2020 Sb. Poměr hodnot viz buňka </t>
        </r>
        <r>
          <rPr>
            <b/>
            <sz val="9"/>
            <color indexed="81"/>
            <rFont val="Tahoma"/>
            <family val="2"/>
            <charset val="238"/>
          </rPr>
          <t>U68
Pokud obálka nevyhovuje, je před instalací podporovaného TČ nutno dům zateplit.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Kotěra Martin</author>
    <author>Passivhaus Institut</author>
  </authors>
  <commentList>
    <comment ref="H8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stěna (horizont. tep. tok)  0,13
střecha (tep. tok vzhůru)  0,10
podlaha (tep. tok dolů)  0,17</t>
        </r>
      </text>
    </comment>
    <comment ref="H9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stěna, střecha k exteriéru  0,04
dvouplášťová střecha - při nízké výměněně vzduchu stejné jako Rsi
konstrukce ve styku se zeminou  0
nevytápěný prostor - dle směru toku, viz Rsi</t>
        </r>
      </text>
    </comment>
    <comment ref="F23" authorId="1" shapeId="0" xr:uid="{00000000-0006-0000-0100-000003000000}">
      <text>
        <r>
          <rPr>
            <sz val="10"/>
            <color indexed="8"/>
            <rFont val="Tahoma"/>
            <family val="2"/>
            <charset val="238"/>
          </rPr>
          <t xml:space="preserve">Pro započtení vlivu např. kotev ve zdivu, nosných roštů zavěšených fasád, kotvených zateplovacích systémů, hřebíků u nadkrokevní izolace apod.
</t>
        </r>
        <r>
          <rPr>
            <sz val="10"/>
            <color indexed="8"/>
            <rFont val="Tahoma"/>
            <family val="2"/>
            <charset val="238"/>
          </rPr>
          <t>Přičítá se k vypočtenému součiniteli U.</t>
        </r>
      </text>
    </comment>
    <comment ref="F44" authorId="1" shapeId="0" xr:uid="{00000000-0006-0000-0100-000004000000}">
      <text>
        <r>
          <rPr>
            <sz val="10"/>
            <color indexed="8"/>
            <rFont val="Tahoma"/>
            <family val="2"/>
            <charset val="238"/>
          </rPr>
          <t xml:space="preserve">Pro započtení vlivu např. kotev ve zdivu, nosných roštů zavěšených fasád, kotvených zateplovacích systémů, hřebíků u nadkrokevní izolace apod.
</t>
        </r>
        <r>
          <rPr>
            <sz val="10"/>
            <color indexed="8"/>
            <rFont val="Tahoma"/>
            <family val="2"/>
            <charset val="238"/>
          </rPr>
          <t>Přičítá se k vypočtenému součiniteli U.</t>
        </r>
      </text>
    </comment>
    <comment ref="F65" authorId="1" shapeId="0" xr:uid="{00000000-0006-0000-0100-000005000000}">
      <text>
        <r>
          <rPr>
            <sz val="10"/>
            <color rgb="FF000000"/>
            <rFont val="Tahoma"/>
            <family val="2"/>
            <charset val="238"/>
          </rPr>
          <t xml:space="preserve">Pro započtení vlivu např. kotev ve zdivu, nosných roštů zavěšených fasád, kotvených zateplovacích systémů, hřebíků u nadkrokevní izolace apod.
</t>
        </r>
        <r>
          <rPr>
            <sz val="10"/>
            <color rgb="FF000000"/>
            <rFont val="Tahoma"/>
            <family val="2"/>
            <charset val="238"/>
          </rPr>
          <t>Přičítá se k vypočtenému součiniteli U.</t>
        </r>
      </text>
    </comment>
    <comment ref="F86" authorId="1" shapeId="0" xr:uid="{00000000-0006-0000-0100-000006000000}">
      <text>
        <r>
          <rPr>
            <sz val="10"/>
            <color rgb="FF000000"/>
            <rFont val="Tahoma"/>
            <family val="2"/>
            <charset val="238"/>
          </rPr>
          <t xml:space="preserve">Pro započtení vlivu např. kotev ve zdivu, nosných roštů zavěšených fasád, kotvených zateplovacích systémů, hřebíků u nadkrokevní izolace apod.
</t>
        </r>
        <r>
          <rPr>
            <sz val="10"/>
            <color rgb="FF000000"/>
            <rFont val="Tahoma"/>
            <family val="2"/>
            <charset val="238"/>
          </rPr>
          <t>Přičítá se k vypočtenému součiniteli U.</t>
        </r>
      </text>
    </comment>
    <comment ref="F107" authorId="1" shapeId="0" xr:uid="{00000000-0006-0000-0100-000007000000}">
      <text>
        <r>
          <rPr>
            <sz val="10"/>
            <color indexed="8"/>
            <rFont val="Tahoma"/>
            <family val="2"/>
            <charset val="238"/>
          </rPr>
          <t xml:space="preserve">Pro započtení vlivu např. kotev ve zdivu, nosných roštů zavěšených fasád, kotvených zateplovacích systémů, hřebíků u nadkrokevní izolace apod.
</t>
        </r>
        <r>
          <rPr>
            <sz val="10"/>
            <color indexed="8"/>
            <rFont val="Tahoma"/>
            <family val="2"/>
            <charset val="238"/>
          </rPr>
          <t>Přičítá se k vypočtenému součiniteli U.</t>
        </r>
      </text>
    </comment>
    <comment ref="F128" authorId="1" shapeId="0" xr:uid="{00000000-0006-0000-0100-000008000000}">
      <text>
        <r>
          <rPr>
            <sz val="10"/>
            <color indexed="8"/>
            <rFont val="Tahoma"/>
            <family val="2"/>
            <charset val="238"/>
          </rPr>
          <t xml:space="preserve">Pro započtení vlivu např. kotev ve zdivu, nosných roštů zavěšených fasád, kotvených zateplovacích systémů, hřebíků u nadkrokevní izolace apod.
</t>
        </r>
        <r>
          <rPr>
            <sz val="10"/>
            <color indexed="8"/>
            <rFont val="Tahoma"/>
            <family val="2"/>
            <charset val="238"/>
          </rPr>
          <t>Přičítá se k vypočtenému součiniteli U.</t>
        </r>
      </text>
    </comment>
    <comment ref="F149" authorId="1" shapeId="0" xr:uid="{00000000-0006-0000-0100-000009000000}">
      <text>
        <r>
          <rPr>
            <sz val="10"/>
            <color indexed="8"/>
            <rFont val="Tahoma"/>
            <family val="2"/>
            <charset val="238"/>
          </rPr>
          <t xml:space="preserve">Pro započtení vlivu např. kotev ve zdivu, nosných roštů zavěšených fasád, kotvených zateplovacích systémů, hřebíků u nadkrokevní izolace apod.
</t>
        </r>
        <r>
          <rPr>
            <sz val="10"/>
            <color indexed="8"/>
            <rFont val="Tahoma"/>
            <family val="2"/>
            <charset val="238"/>
          </rPr>
          <t>Přičítá se k vypočtenému součiniteli U.</t>
        </r>
      </text>
    </comment>
    <comment ref="F170" authorId="1" shapeId="0" xr:uid="{00000000-0006-0000-0100-00000A000000}">
      <text>
        <r>
          <rPr>
            <sz val="10"/>
            <color indexed="8"/>
            <rFont val="Tahoma"/>
            <family val="2"/>
            <charset val="238"/>
          </rPr>
          <t xml:space="preserve">Pro započtení vlivu např. kotev ve zdivu, nosných roštů zavěšených fasád, kotvených zateplovacích systémů, hřebíků u nadkrokevní izolace apod.
</t>
        </r>
        <r>
          <rPr>
            <sz val="10"/>
            <color indexed="8"/>
            <rFont val="Tahoma"/>
            <family val="2"/>
            <charset val="238"/>
          </rPr>
          <t>Přičítá se k vypočtenému součiniteli U.</t>
        </r>
      </text>
    </comment>
    <comment ref="F191" authorId="1" shapeId="0" xr:uid="{00000000-0006-0000-0100-00000B000000}">
      <text>
        <r>
          <rPr>
            <sz val="10"/>
            <color indexed="8"/>
            <rFont val="Tahoma"/>
            <family val="2"/>
            <charset val="238"/>
          </rPr>
          <t xml:space="preserve">Pro započtení vlivu např. kotev ve zdivu, nosných roštů zavěšených fasád, kotvených zateplovacích systémů, hřebíků u nadkrokevní izolace apod.
</t>
        </r>
        <r>
          <rPr>
            <sz val="10"/>
            <color indexed="8"/>
            <rFont val="Tahoma"/>
            <family val="2"/>
            <charset val="238"/>
          </rPr>
          <t>Přičítá se k vypočtenému součiniteli U.</t>
        </r>
      </text>
    </comment>
    <comment ref="F212" authorId="1" shapeId="0" xr:uid="{00000000-0006-0000-0100-00000C000000}">
      <text>
        <r>
          <rPr>
            <sz val="10"/>
            <color indexed="8"/>
            <rFont val="Tahoma"/>
            <family val="2"/>
            <charset val="238"/>
          </rPr>
          <t xml:space="preserve">Pro započtení vlivu např. kotev ve zdivu, nosných roštů zavěšených fasád, kotvených zateplovacích systémů, hřebíků u nadkrokevní izolace apod.
</t>
        </r>
        <r>
          <rPr>
            <sz val="10"/>
            <color indexed="8"/>
            <rFont val="Tahoma"/>
            <family val="2"/>
            <charset val="238"/>
          </rPr>
          <t>Přičítá se k vypočtenému součiniteli U.</t>
        </r>
      </text>
    </comment>
    <comment ref="F233" authorId="1" shapeId="0" xr:uid="{00000000-0006-0000-0100-00000D000000}">
      <text>
        <r>
          <rPr>
            <sz val="10"/>
            <color indexed="8"/>
            <rFont val="Tahoma"/>
            <family val="2"/>
            <charset val="238"/>
          </rPr>
          <t xml:space="preserve">Pro započtení vlivu např. kotev ve zdivu, nosných roštů zavěšených fasád, kotvených zateplovacích systémů, hřebíků u nadkrokevní izolace apod.
</t>
        </r>
        <r>
          <rPr>
            <sz val="10"/>
            <color indexed="8"/>
            <rFont val="Tahoma"/>
            <family val="2"/>
            <charset val="238"/>
          </rPr>
          <t>Přičítá se k vypočtenému součiniteli U.</t>
        </r>
      </text>
    </comment>
    <comment ref="F254" authorId="1" shapeId="0" xr:uid="{00000000-0006-0000-0100-00000E000000}">
      <text>
        <r>
          <rPr>
            <sz val="10"/>
            <color indexed="8"/>
            <rFont val="Tahoma"/>
            <family val="2"/>
            <charset val="238"/>
          </rPr>
          <t xml:space="preserve">Pro započtení vlivu např. kotev ve zdivu, nosných roštů zavěšených fasád, kotvených zateplovacích systémů, hřebíků u nadkrokevní izolace apod.
</t>
        </r>
        <r>
          <rPr>
            <sz val="10"/>
            <color indexed="8"/>
            <rFont val="Tahoma"/>
            <family val="2"/>
            <charset val="238"/>
          </rPr>
          <t>Přičítá se k vypočtenému součiniteli U.</t>
        </r>
      </text>
    </comment>
    <comment ref="F275" authorId="1" shapeId="0" xr:uid="{00000000-0006-0000-0100-00000F000000}">
      <text>
        <r>
          <rPr>
            <sz val="10"/>
            <color indexed="8"/>
            <rFont val="Tahoma"/>
            <family val="2"/>
            <charset val="238"/>
          </rPr>
          <t xml:space="preserve">Pro započtení vlivu např. kotev ve zdivu, nosných roštů zavěšených fasád, kotvených zateplovacích systémů, hřebíků u nadkrokevní izolace apod.
</t>
        </r>
        <r>
          <rPr>
            <sz val="10"/>
            <color indexed="8"/>
            <rFont val="Tahoma"/>
            <family val="2"/>
            <charset val="238"/>
          </rPr>
          <t>Přičítá se k vypočtenému součiniteli U.</t>
        </r>
      </text>
    </comment>
    <comment ref="F296" authorId="1" shapeId="0" xr:uid="{00000000-0006-0000-0100-000010000000}">
      <text>
        <r>
          <rPr>
            <sz val="10"/>
            <color indexed="8"/>
            <rFont val="Tahoma"/>
            <family val="2"/>
            <charset val="238"/>
          </rPr>
          <t xml:space="preserve">Pro započtení vlivu např. kotev ve zdivu, nosných roštů zavěšených fasád, kotvených zateplovacích systémů, hřebíků u nadkrokevní izolace apod.
</t>
        </r>
        <r>
          <rPr>
            <sz val="10"/>
            <color indexed="8"/>
            <rFont val="Tahoma"/>
            <family val="2"/>
            <charset val="238"/>
          </rPr>
          <t>Přičítá se k vypočtenému součiniteli U.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Kotěra Martin</author>
  </authors>
  <commentList>
    <comment ref="C63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Měrný výkon UT 50 - 90 W/m2</t>
        </r>
      </text>
    </comment>
  </commentList>
</comments>
</file>

<file path=xl/sharedStrings.xml><?xml version="1.0" encoding="utf-8"?>
<sst xmlns="http://schemas.openxmlformats.org/spreadsheetml/2006/main" count="1743" uniqueCount="650">
  <si>
    <t>Adresa budovy</t>
  </si>
  <si>
    <t>Vlastník budovy</t>
  </si>
  <si>
    <t>Kontakt (tel. / e-mail)</t>
  </si>
  <si>
    <t xml:space="preserve"> </t>
  </si>
  <si>
    <t>Celkem</t>
  </si>
  <si>
    <t>HeizJahr</t>
  </si>
  <si>
    <t>°C</t>
  </si>
  <si>
    <t>m²</t>
  </si>
  <si>
    <t xml:space="preserve">P O T Ř E B A   T E P L A   N A   V Y T Á P Ě N Í </t>
  </si>
  <si>
    <t>plní ČSN</t>
  </si>
  <si>
    <t>U podlahy</t>
  </si>
  <si>
    <t>bj zeminy</t>
  </si>
  <si>
    <t>Stavební konstrukce</t>
  </si>
  <si>
    <t>Vnější stěny A</t>
  </si>
  <si>
    <t>*</t>
  </si>
  <si>
    <t>Vnější stěny B</t>
  </si>
  <si>
    <t>Vnější stěny C</t>
  </si>
  <si>
    <t>Vnější stěny - zemina A</t>
  </si>
  <si>
    <t>Vnější stěny - zemina B</t>
  </si>
  <si>
    <t>Střecha A</t>
  </si>
  <si>
    <t>Strop k půdě A</t>
  </si>
  <si>
    <t>Podlaha na zemině A</t>
  </si>
  <si>
    <t>Konstrukce k nevytápěnému prostoru</t>
  </si>
  <si>
    <t>Okna A</t>
  </si>
  <si>
    <t>Okna B</t>
  </si>
  <si>
    <t>Okna C</t>
  </si>
  <si>
    <t>přirážka na tepelné vazby</t>
  </si>
  <si>
    <r>
      <t>Tepelné ztráty prostupem Q</t>
    </r>
    <r>
      <rPr>
        <vertAlign val="subscript"/>
        <sz val="10"/>
        <rFont val="Calibri"/>
        <family val="2"/>
        <charset val="238"/>
        <scheme val="minor"/>
      </rPr>
      <t>T</t>
    </r>
  </si>
  <si>
    <t>1.</t>
  </si>
  <si>
    <t>2.</t>
  </si>
  <si>
    <t>3.</t>
  </si>
  <si>
    <t>4.</t>
  </si>
  <si>
    <t>5.</t>
  </si>
  <si>
    <t>Průměrný součinitel prostupu tepla Uem</t>
  </si>
  <si>
    <t>Referenční průměrný součinitel prostupu tepla Uem,R</t>
  </si>
  <si>
    <t>Konstrukce č.</t>
  </si>
  <si>
    <t>Označení konstrukce</t>
  </si>
  <si>
    <r>
      <t>odpor při přestupu tepla na vnitřní str. kce R</t>
    </r>
    <r>
      <rPr>
        <vertAlign val="subscript"/>
        <sz val="8"/>
        <rFont val="Calibri"/>
        <family val="2"/>
        <charset val="238"/>
        <scheme val="minor"/>
      </rPr>
      <t>si</t>
    </r>
    <r>
      <rPr>
        <sz val="8"/>
        <rFont val="Calibri"/>
        <family val="2"/>
        <charset val="238"/>
        <scheme val="minor"/>
      </rPr>
      <t xml:space="preserve">  [m²K/W]   </t>
    </r>
  </si>
  <si>
    <t>tepelný odpor</t>
  </si>
  <si>
    <t>ekvivaletní tepelná vodivost</t>
  </si>
  <si>
    <r>
      <t>vnější R</t>
    </r>
    <r>
      <rPr>
        <vertAlign val="subscript"/>
        <sz val="8"/>
        <rFont val="Calibri"/>
        <family val="2"/>
        <charset val="238"/>
        <scheme val="minor"/>
      </rPr>
      <t>se</t>
    </r>
    <r>
      <rPr>
        <sz val="8"/>
        <rFont val="Calibri"/>
        <family val="2"/>
        <charset val="238"/>
        <scheme val="minor"/>
      </rPr>
      <t xml:space="preserve"> </t>
    </r>
  </si>
  <si>
    <t>d/l</t>
  </si>
  <si>
    <t>lambda</t>
  </si>
  <si>
    <t>Dílčí plocha 1</t>
  </si>
  <si>
    <r>
      <t>l</t>
    </r>
    <r>
      <rPr>
        <sz val="6"/>
        <rFont val="Calibri"/>
        <family val="2"/>
        <charset val="238"/>
        <scheme val="minor"/>
      </rPr>
      <t xml:space="preserve"> [W/(mK)]</t>
    </r>
  </si>
  <si>
    <t>Dílčí plocha 2 (nepovinný)</t>
  </si>
  <si>
    <t>Dílčí plocha 3 (nepovinný)</t>
  </si>
  <si>
    <t>Tloušťka [mm]</t>
  </si>
  <si>
    <t>plocha 1</t>
  </si>
  <si>
    <t>plocha 2</t>
  </si>
  <si>
    <t>plocha 3</t>
  </si>
  <si>
    <t>6.</t>
  </si>
  <si>
    <t>7.</t>
  </si>
  <si>
    <t>8.</t>
  </si>
  <si>
    <t>Podíl dílčí plochy 1</t>
  </si>
  <si>
    <t>Podíl dílčí plochy 2</t>
  </si>
  <si>
    <t>Podíl dílčí plochy 3</t>
  </si>
  <si>
    <t>1/RTeilfläche</t>
  </si>
  <si>
    <t>cm</t>
  </si>
  <si>
    <t>Flächenanteil</t>
  </si>
  <si>
    <t>Přirážka ΔU</t>
  </si>
  <si>
    <t>W/(m²K)</t>
  </si>
  <si>
    <t>Součinitel U:</t>
  </si>
  <si>
    <r>
      <t>R</t>
    </r>
    <r>
      <rPr>
        <vertAlign val="subscript"/>
        <sz val="10"/>
        <rFont val="Calibri"/>
        <family val="2"/>
        <charset val="238"/>
        <scheme val="minor"/>
      </rPr>
      <t>T</t>
    </r>
  </si>
  <si>
    <r>
      <t>R'</t>
    </r>
    <r>
      <rPr>
        <vertAlign val="subscript"/>
        <sz val="10"/>
        <rFont val="Calibri"/>
        <family val="2"/>
        <charset val="238"/>
        <scheme val="minor"/>
      </rPr>
      <t>T</t>
    </r>
  </si>
  <si>
    <r>
      <t>R''</t>
    </r>
    <r>
      <rPr>
        <vertAlign val="subscript"/>
        <sz val="10"/>
        <rFont val="Calibri"/>
        <family val="2"/>
        <charset val="238"/>
        <scheme val="minor"/>
      </rPr>
      <t>T</t>
    </r>
  </si>
  <si>
    <t>e</t>
  </si>
  <si>
    <t>Návrh pasivního domu</t>
  </si>
  <si>
    <t>Hodnoty fyzikálních veličin vybraných stavebních materiálů</t>
  </si>
  <si>
    <t>Kategorie</t>
  </si>
  <si>
    <t>Materiál</t>
  </si>
  <si>
    <r>
      <t xml:space="preserve">Objemová hmotnost v suchém stavu
</t>
    </r>
    <r>
      <rPr>
        <sz val="10"/>
        <rFont val="Symbol"/>
        <family val="1"/>
        <charset val="2"/>
      </rPr>
      <t>r</t>
    </r>
    <r>
      <rPr>
        <vertAlign val="subscript"/>
        <sz val="10"/>
        <rFont val="Arial"/>
        <family val="2"/>
        <charset val="238"/>
      </rPr>
      <t>dn</t>
    </r>
    <r>
      <rPr>
        <sz val="10"/>
        <rFont val="Arial"/>
        <family val="2"/>
        <charset val="238"/>
      </rPr>
      <t xml:space="preserve"> [kg/m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]</t>
    </r>
    <r>
      <rPr>
        <b/>
        <sz val="10"/>
        <rFont val="Arial"/>
        <family val="2"/>
        <charset val="238"/>
      </rPr>
      <t xml:space="preserve">
</t>
    </r>
  </si>
  <si>
    <r>
      <t xml:space="preserve">Měrná tep. kapacita v suchém stavu
</t>
    </r>
    <r>
      <rPr>
        <sz val="10"/>
        <rFont val="Arial"/>
        <family val="2"/>
        <charset val="238"/>
      </rPr>
      <t>c</t>
    </r>
    <r>
      <rPr>
        <vertAlign val="subscript"/>
        <sz val="10"/>
        <rFont val="Arial"/>
        <family val="2"/>
        <charset val="238"/>
      </rPr>
      <t>dn</t>
    </r>
    <r>
      <rPr>
        <sz val="10"/>
        <rFont val="Arial"/>
        <family val="2"/>
        <charset val="238"/>
      </rPr>
      <t xml:space="preserve"> [J/(kg*K)]</t>
    </r>
    <r>
      <rPr>
        <b/>
        <sz val="10"/>
        <rFont val="Arial"/>
        <family val="2"/>
        <charset val="238"/>
      </rPr>
      <t xml:space="preserve">
</t>
    </r>
  </si>
  <si>
    <r>
      <t xml:space="preserve">Faktor difuzního odporu
</t>
    </r>
    <r>
      <rPr>
        <sz val="10"/>
        <rFont val="Symbol"/>
        <family val="1"/>
        <charset val="2"/>
      </rPr>
      <t>m</t>
    </r>
    <r>
      <rPr>
        <vertAlign val="subscript"/>
        <sz val="10"/>
        <rFont val="Arial"/>
        <family val="2"/>
        <charset val="238"/>
      </rPr>
      <t>n</t>
    </r>
    <r>
      <rPr>
        <sz val="10"/>
        <rFont val="Arial"/>
        <family val="2"/>
        <charset val="238"/>
      </rPr>
      <t xml:space="preserve"> [-]</t>
    </r>
    <r>
      <rPr>
        <b/>
        <sz val="10"/>
        <rFont val="Arial"/>
        <family val="2"/>
        <charset val="238"/>
      </rPr>
      <t xml:space="preserve">
</t>
    </r>
  </si>
  <si>
    <r>
      <t xml:space="preserve">Součinitel difuze vodní páry
</t>
    </r>
    <r>
      <rPr>
        <sz val="10"/>
        <rFont val="Symbol"/>
        <family val="1"/>
        <charset val="2"/>
      </rPr>
      <t>d</t>
    </r>
    <r>
      <rPr>
        <vertAlign val="subscript"/>
        <sz val="10"/>
        <rFont val="Arial"/>
        <family val="2"/>
        <charset val="238"/>
      </rPr>
      <t>n</t>
    </r>
    <r>
      <rPr>
        <sz val="10"/>
        <rFont val="Arial"/>
        <family val="2"/>
        <charset val="238"/>
      </rPr>
      <t xml:space="preserve"> * 10</t>
    </r>
    <r>
      <rPr>
        <vertAlign val="superscript"/>
        <sz val="10"/>
        <rFont val="Arial"/>
        <family val="2"/>
        <charset val="238"/>
      </rPr>
      <t>9</t>
    </r>
    <r>
      <rPr>
        <sz val="10"/>
        <rFont val="Arial"/>
        <family val="2"/>
        <charset val="238"/>
      </rPr>
      <t xml:space="preserve"> [s]</t>
    </r>
    <r>
      <rPr>
        <b/>
        <sz val="10"/>
        <rFont val="Arial"/>
        <family val="2"/>
        <charset val="238"/>
      </rPr>
      <t xml:space="preserve">
</t>
    </r>
  </si>
  <si>
    <r>
      <t xml:space="preserve">Hmotnostní vlhkost
</t>
    </r>
    <r>
      <rPr>
        <sz val="10"/>
        <rFont val="Symbol"/>
        <family val="1"/>
        <charset val="2"/>
      </rPr>
      <t>w</t>
    </r>
    <r>
      <rPr>
        <vertAlign val="subscript"/>
        <sz val="10"/>
        <rFont val="Arial"/>
        <family val="2"/>
        <charset val="238"/>
      </rPr>
      <t>mk</t>
    </r>
    <r>
      <rPr>
        <sz val="10"/>
        <rFont val="Arial"/>
        <family val="2"/>
        <charset val="238"/>
      </rPr>
      <t xml:space="preserve"> [%]</t>
    </r>
    <r>
      <rPr>
        <b/>
        <sz val="10"/>
        <rFont val="Arial"/>
        <family val="2"/>
        <charset val="238"/>
      </rPr>
      <t xml:space="preserve">
</t>
    </r>
  </si>
  <si>
    <r>
      <t xml:space="preserve">Charakt. součinitel tepelné vodivosti
</t>
    </r>
    <r>
      <rPr>
        <sz val="10"/>
        <rFont val="Symbol"/>
        <family val="1"/>
        <charset val="2"/>
      </rPr>
      <t>l</t>
    </r>
    <r>
      <rPr>
        <vertAlign val="subscript"/>
        <sz val="10"/>
        <rFont val="Arial"/>
        <family val="2"/>
        <charset val="238"/>
      </rPr>
      <t>k</t>
    </r>
    <r>
      <rPr>
        <sz val="10"/>
        <rFont val="Arial"/>
        <family val="2"/>
        <charset val="238"/>
      </rPr>
      <t xml:space="preserve"> [W/(m*K)]</t>
    </r>
    <r>
      <rPr>
        <b/>
        <sz val="10"/>
        <rFont val="Arial"/>
        <family val="2"/>
        <charset val="238"/>
      </rPr>
      <t xml:space="preserve">
</t>
    </r>
  </si>
  <si>
    <r>
      <t xml:space="preserve">Výpočtový součinitel tepelné vodivosti
</t>
    </r>
    <r>
      <rPr>
        <sz val="10"/>
        <rFont val="Symbol"/>
        <family val="1"/>
        <charset val="2"/>
      </rPr>
      <t>l</t>
    </r>
    <r>
      <rPr>
        <vertAlign val="subscript"/>
        <sz val="10"/>
        <rFont val="Arial"/>
        <family val="2"/>
        <charset val="238"/>
      </rPr>
      <t>P</t>
    </r>
    <r>
      <rPr>
        <sz val="10"/>
        <rFont val="Arial"/>
        <family val="2"/>
        <charset val="238"/>
      </rPr>
      <t xml:space="preserve"> [W/(m*K)]</t>
    </r>
    <r>
      <rPr>
        <b/>
        <sz val="10"/>
        <rFont val="Arial"/>
        <family val="2"/>
        <charset val="238"/>
      </rPr>
      <t xml:space="preserve">
</t>
    </r>
  </si>
  <si>
    <t>Betony hutné</t>
  </si>
  <si>
    <t>Beton hutný 1</t>
  </si>
  <si>
    <t>Beton hutný 2</t>
  </si>
  <si>
    <t>Beton hutný 3</t>
  </si>
  <si>
    <t>Dutinový panel</t>
  </si>
  <si>
    <t>Stropnice s vložkami PLM</t>
  </si>
  <si>
    <t>Železobeton 1</t>
  </si>
  <si>
    <t>Železobeton 2</t>
  </si>
  <si>
    <t>Železobeton 3</t>
  </si>
  <si>
    <t>Tep.izolace ostatní</t>
  </si>
  <si>
    <t>Austrotherm 20 XPS-G/030</t>
  </si>
  <si>
    <t>Austrotherm 30 XPS-G/030</t>
  </si>
  <si>
    <t>Austrotherm 30 XPS-G/035</t>
  </si>
  <si>
    <t>Austrotherm 50 XPS-G/030</t>
  </si>
  <si>
    <t>Austrotherm 70 XPS-G/030</t>
  </si>
  <si>
    <t>Austrotherm XPS-R/035</t>
  </si>
  <si>
    <t>BASF Styrodur 2000</t>
  </si>
  <si>
    <t>BASF Styrodur 2500 C tl.20-30 mm</t>
  </si>
  <si>
    <t>BASF Styrodur 2500 C tl.40-60 mm</t>
  </si>
  <si>
    <t>BASF Styrodur 2800 C tl.100-120 mm</t>
  </si>
  <si>
    <t>BASF Styrodur 2800 C tl.20-30 mm</t>
  </si>
  <si>
    <t>BASF Styrodur 2800 C tl.40-60 mm</t>
  </si>
  <si>
    <t>BASF Styrodur 2800 C tl.80 mm</t>
  </si>
  <si>
    <t>BASF Styrodur 3000 S</t>
  </si>
  <si>
    <t>BASF Styrodur 3035 CN tl.30 mm</t>
  </si>
  <si>
    <t>BASF Styrodur 3035 CN tl.40-60 mm</t>
  </si>
  <si>
    <t>BASF Styrodur 3035 CN tl.80 mm</t>
  </si>
  <si>
    <t>BASF Styrodur 3035 CS tl.100-160 mm</t>
  </si>
  <si>
    <t>BASF Styrodur 3035 CS tl.180 mm</t>
  </si>
  <si>
    <t>BASF Styrodur 3035 CS tl.30 mm</t>
  </si>
  <si>
    <t>BASF Styrodur 3035 CS tl.40-60 mm</t>
  </si>
  <si>
    <t>BASF Styrodur 3035 CS tl.80 mm</t>
  </si>
  <si>
    <t>BASF Styrodur 4000 CS tl.100-120 mm</t>
  </si>
  <si>
    <t>BASF Styrodur 4000 CS tl.30 mm</t>
  </si>
  <si>
    <t>BASF Styrodur 4000 CS tl.40-60 mm</t>
  </si>
  <si>
    <t>BASF Styrodur 4000 CS tl.80 mm</t>
  </si>
  <si>
    <t>BASF Styrodur 5000 CS tl.100 mm</t>
  </si>
  <si>
    <t>BASF Styrodur 5000 CS tl.40-60 mm</t>
  </si>
  <si>
    <t>BASF Styrodur 5000 CS tl.80 mm</t>
  </si>
  <si>
    <t>BASF Styrodur LDE</t>
  </si>
  <si>
    <t>Bauder PUR 020S</t>
  </si>
  <si>
    <t>Bauder PUR A</t>
  </si>
  <si>
    <t>Bauder PUR M</t>
  </si>
  <si>
    <t>Baumit EPS-F</t>
  </si>
  <si>
    <t>Baumit open therm (EPS-F)</t>
  </si>
  <si>
    <t>Baumit open reflect</t>
  </si>
  <si>
    <t>Baumit XPS-R</t>
  </si>
  <si>
    <t>Climatizer Plus 1</t>
  </si>
  <si>
    <t>Climatizer Plus 2</t>
  </si>
  <si>
    <t>Dow Floormate 200</t>
  </si>
  <si>
    <t>Dow Floormate 500</t>
  </si>
  <si>
    <t>Dow Floormate 700</t>
  </si>
  <si>
    <t>Dow Perimate DI</t>
  </si>
  <si>
    <t>Dow Perimate INS</t>
  </si>
  <si>
    <t>Dow Roofmate LG</t>
  </si>
  <si>
    <t>Dow Roofmate SL</t>
  </si>
  <si>
    <t>Eurothane AL</t>
  </si>
  <si>
    <t>Eurothane Bi-3</t>
  </si>
  <si>
    <t>Eurothane E</t>
  </si>
  <si>
    <t>Eurothane G</t>
  </si>
  <si>
    <t>Eurothane S</t>
  </si>
  <si>
    <t>Eurothane SD</t>
  </si>
  <si>
    <t>Extrudovaný polystyren</t>
  </si>
  <si>
    <t>Foamglas F</t>
  </si>
  <si>
    <t>Foamglas Floorboard</t>
  </si>
  <si>
    <t>Foamglas Floorboard F</t>
  </si>
  <si>
    <t>Foamglas P &amp; R Board</t>
  </si>
  <si>
    <t>Foamglas Readyboard</t>
  </si>
  <si>
    <t>Foamglas S3</t>
  </si>
  <si>
    <t>Foamglas T4</t>
  </si>
  <si>
    <t>Foamglas Wallboard</t>
  </si>
  <si>
    <t>Isocell Celuloza</t>
  </si>
  <si>
    <t>Kombidoska KD-100</t>
  </si>
  <si>
    <t>Kombidoska KD-3/100</t>
  </si>
  <si>
    <t>Kombidoska KD-3/35</t>
  </si>
  <si>
    <t>Kombidoska KD-3/50</t>
  </si>
  <si>
    <t>Kombidoska KD-3/75</t>
  </si>
  <si>
    <t>Kombidoska KD-35</t>
  </si>
  <si>
    <t>Kombidoska KD-50/40</t>
  </si>
  <si>
    <t>Kombidoska KD-75</t>
  </si>
  <si>
    <t>Lignopor 5+15+5</t>
  </si>
  <si>
    <t>Lignopor 5+20</t>
  </si>
  <si>
    <t>Lignopor 5+40+5</t>
  </si>
  <si>
    <t>Lignopor 5+45</t>
  </si>
  <si>
    <t>Lignopor 5+90+5</t>
  </si>
  <si>
    <t>Pěn. sklo Spumavit 1</t>
  </si>
  <si>
    <t>Pěn. sklo Spumavit 2</t>
  </si>
  <si>
    <t>Pěnové sklo 1 (po roce 2003)</t>
  </si>
  <si>
    <t>Pěnové sklo 2 (po roce 2003)</t>
  </si>
  <si>
    <t>Pěnové sklo 3 (po roce 2003)</t>
  </si>
  <si>
    <t>Pěnový polystyren 1 (do roku 2003)</t>
  </si>
  <si>
    <t>Pěnový polystyren 1 (po roce 2003)</t>
  </si>
  <si>
    <t>Pěnový polystyren 2 (do roku 2003)</t>
  </si>
  <si>
    <t>Pěnový polystyren 2 (po roce 2003)</t>
  </si>
  <si>
    <t>Pěnový polystyren 3 (do roku 2003)</t>
  </si>
  <si>
    <t>Pěnový polystyren 3 (po roce 2003)</t>
  </si>
  <si>
    <t>Pěnový polystyren 4 (po roce 2003)</t>
  </si>
  <si>
    <t>Pěnový polystyren 5 (po roce 2003)</t>
  </si>
  <si>
    <t>Polyuretan pěnový měkký</t>
  </si>
  <si>
    <t>Polyuretan pěnový tuhý</t>
  </si>
  <si>
    <t>Polyuretan pěnový tuhý oplášťovaný plechem</t>
  </si>
  <si>
    <t>PVC pěněné</t>
  </si>
  <si>
    <t>Rigips EPS 100 S Stabil (1)</t>
  </si>
  <si>
    <t>Rigips EPS 100 S Stabil (2)</t>
  </si>
  <si>
    <t>Rigips EPS 100 Z (1)</t>
  </si>
  <si>
    <t>Rigips EPS 100 Z (2)</t>
  </si>
  <si>
    <t>Rigips EPS 150 S Stabil (1)</t>
  </si>
  <si>
    <t>Rigips EPS 150 S Stabil (2)</t>
  </si>
  <si>
    <t>Rigips EPS 200 S Stabil (1)</t>
  </si>
  <si>
    <t>Rigips EPS 200 S Stabil (2)</t>
  </si>
  <si>
    <t>Rigips EPS 200 S Stabil (3)</t>
  </si>
  <si>
    <t>Rigips EPS 50 Z (1)</t>
  </si>
  <si>
    <t>Rigips EPS 50 Z (2)</t>
  </si>
  <si>
    <t>Rigips EPS 70 F Fasádní (1)</t>
  </si>
  <si>
    <t>Rigips EPS 70 F Fasádní (2)</t>
  </si>
  <si>
    <t>Rigips EPS 70 S Stabil (1)</t>
  </si>
  <si>
    <t>Rigips EPS 70 S Stabil (2)</t>
  </si>
  <si>
    <t>Rigips EPS 70 Z (1)</t>
  </si>
  <si>
    <t>Rigips EPS 70 Z (2)</t>
  </si>
  <si>
    <t>Rigips EPS drenážní desky DD Geotex</t>
  </si>
  <si>
    <t>Rigips EPS drenážní desky DD Universal</t>
  </si>
  <si>
    <t>Rigips EPS P Perimeter (1)</t>
  </si>
  <si>
    <t>Rigips EPS P Perimeter (2)</t>
  </si>
  <si>
    <t>Rigips EPS P Perimeter (3)</t>
  </si>
  <si>
    <t>Rigips EPS soklové desky</t>
  </si>
  <si>
    <t>Rigips EPS T 3500 (1)</t>
  </si>
  <si>
    <t>Rigips EPS T 3500 (2)</t>
  </si>
  <si>
    <t>Rigips EPS T 5000 (1)</t>
  </si>
  <si>
    <t>Rigips EPS T 5000 (2)</t>
  </si>
  <si>
    <t>Rigips GreyWall 033</t>
  </si>
  <si>
    <t>Rigips NeoFloor 031</t>
  </si>
  <si>
    <t>Rigips Rigifloor 4000</t>
  </si>
  <si>
    <t>Rigips Rigifloor 5000</t>
  </si>
  <si>
    <t>Sitek Fesco C a C-DO</t>
  </si>
  <si>
    <t>Ursa XPS HR-L</t>
  </si>
  <si>
    <t>Ursa XPS N-DRAIN</t>
  </si>
  <si>
    <t>Ursa XPS N-FT</t>
  </si>
  <si>
    <t>Ursa XPS N-III-I</t>
  </si>
  <si>
    <t>Ursa XPS N-III-L</t>
  </si>
  <si>
    <t>Ursa XPS N-III-PZ-I</t>
  </si>
  <si>
    <t>Ursa XPS N-V-L</t>
  </si>
  <si>
    <t>Tep.izolace vláknité</t>
  </si>
  <si>
    <t>Isover 73 T</t>
  </si>
  <si>
    <t>Isover Akustic SSP 2</t>
  </si>
  <si>
    <t>Isover Akusto</t>
  </si>
  <si>
    <t>Isover CW 50/70/100</t>
  </si>
  <si>
    <t>Isover Domo</t>
  </si>
  <si>
    <t>Isover DP 25 Plus</t>
  </si>
  <si>
    <t>Isover DP a DP/GD</t>
  </si>
  <si>
    <t>Isover Fassil</t>
  </si>
  <si>
    <t>Isover Hardsil</t>
  </si>
  <si>
    <t>Isover HW-M</t>
  </si>
  <si>
    <t>Isover Isophen</t>
  </si>
  <si>
    <t>Isover Isophen Plus</t>
  </si>
  <si>
    <t>Isover KD/V-035 a KD/V-040</t>
  </si>
  <si>
    <t>Isover Maxiroll</t>
  </si>
  <si>
    <t>Isover Merino</t>
  </si>
  <si>
    <t>Isover Orset</t>
  </si>
  <si>
    <t>Isover Orsik</t>
  </si>
  <si>
    <t>Isover Orsil N</t>
  </si>
  <si>
    <t>Isover Orsil NF</t>
  </si>
  <si>
    <t>Isover Orsil S</t>
  </si>
  <si>
    <t>Isover Orsil T</t>
  </si>
  <si>
    <t>Isover Orsil TF</t>
  </si>
  <si>
    <t>Isover Orsil T-P</t>
  </si>
  <si>
    <t>Isover Orsil T-SD</t>
  </si>
  <si>
    <t>Isover Orsil Uni</t>
  </si>
  <si>
    <t>Isover Orstrop</t>
  </si>
  <si>
    <t>Isover Piano</t>
  </si>
  <si>
    <t>Isover Plst 320</t>
  </si>
  <si>
    <t>Isover Rio</t>
  </si>
  <si>
    <t>Isover Rollino</t>
  </si>
  <si>
    <t>Isover Rollisol-SB</t>
  </si>
  <si>
    <t>Isover SPF/V-035</t>
  </si>
  <si>
    <t>Isover SPF/V-040</t>
  </si>
  <si>
    <t>Isover SPT/G</t>
  </si>
  <si>
    <t>Isover Tango</t>
  </si>
  <si>
    <t>Isover TDPT</t>
  </si>
  <si>
    <t>Isover TW 1</t>
  </si>
  <si>
    <t>Isover Unitop pásy</t>
  </si>
  <si>
    <t>Isover Unitop plsť</t>
  </si>
  <si>
    <t>Isover WKP</t>
  </si>
  <si>
    <t>Krupizol KZ-105</t>
  </si>
  <si>
    <t>Krupizol KZ-3/50</t>
  </si>
  <si>
    <t>Krupizol KZ-3/75</t>
  </si>
  <si>
    <t>Krupizol KZ-50</t>
  </si>
  <si>
    <t>Krupizol KZ-75</t>
  </si>
  <si>
    <t>Min. plsť lisovaná 1 (do roku 2003)</t>
  </si>
  <si>
    <t>Min. plsť lisovaná 2 (do roku 2003)</t>
  </si>
  <si>
    <t>Min. plsť lisovaná 3 (do roku 2003)</t>
  </si>
  <si>
    <t>Minerální plsť 1 (do roku 2003)</t>
  </si>
  <si>
    <t>Minerální plsť 2 (do roku 2003)</t>
  </si>
  <si>
    <t>Minerální plsť 3 (do roku 2003)</t>
  </si>
  <si>
    <t>Minerální vlákna 1 (po roce 2003)</t>
  </si>
  <si>
    <t>Minerální vlákna 2 (po roce 2003)</t>
  </si>
  <si>
    <t>Minerální vlákna 3 (po roce 2003)</t>
  </si>
  <si>
    <t>Minerální vlákna 4 (po roce 2003)</t>
  </si>
  <si>
    <t>Minerální vlákna 5 (po roce 2003)</t>
  </si>
  <si>
    <t>Nobasid</t>
  </si>
  <si>
    <t>Nobasil JPS</t>
  </si>
  <si>
    <t>Nobasil JPS-T</t>
  </si>
  <si>
    <t>Nobasil LF</t>
  </si>
  <si>
    <t>Nobasil M</t>
  </si>
  <si>
    <t>Nobasil PP</t>
  </si>
  <si>
    <t>Nobasil STA</t>
  </si>
  <si>
    <t>Nobasil T</t>
  </si>
  <si>
    <t>Nobasil TF</t>
  </si>
  <si>
    <t>Nobasil TFL</t>
  </si>
  <si>
    <t>Nobasil T-S</t>
  </si>
  <si>
    <t>Nobasil VT</t>
  </si>
  <si>
    <t>Orsil L</t>
  </si>
  <si>
    <t>Orsil M</t>
  </si>
  <si>
    <t>Orsil P</t>
  </si>
  <si>
    <t>Pazderové desky (desky z pazdeří) 1</t>
  </si>
  <si>
    <t>Pazderové desky (desky z pazdeří) 2</t>
  </si>
  <si>
    <t>Plsť z ovčí vlny 1</t>
  </si>
  <si>
    <t>Plsť z ovčí vlny 2</t>
  </si>
  <si>
    <t>Rockwool Airrock HD</t>
  </si>
  <si>
    <t>Rockwool Airrock LD</t>
  </si>
  <si>
    <t>Rockwool Airrock ND</t>
  </si>
  <si>
    <t>Rockwool Dachrock</t>
  </si>
  <si>
    <t>Rockwool Dachrock Max</t>
  </si>
  <si>
    <t>Rockwool Domrock</t>
  </si>
  <si>
    <t>Rockwool Durock</t>
  </si>
  <si>
    <t>Rockwool Fasrock</t>
  </si>
  <si>
    <t>Rockwool Fasrock L</t>
  </si>
  <si>
    <t>Rockwool Floorrock</t>
  </si>
  <si>
    <t>Rockwool Rockmin</t>
  </si>
  <si>
    <t>Rockwool Rockmin Press</t>
  </si>
  <si>
    <t>Rockwool Rocknroll</t>
  </si>
  <si>
    <t>Rockwool Speedrock</t>
  </si>
  <si>
    <t>Rockwool Spodrock</t>
  </si>
  <si>
    <t>Rockwool Steprock LD</t>
  </si>
  <si>
    <t>Rockwool Steprock HD</t>
  </si>
  <si>
    <t>Rockwool Steprock ND</t>
  </si>
  <si>
    <t>Rockwool Tectorock 035</t>
  </si>
  <si>
    <t>Rockwool Tectorock 040</t>
  </si>
  <si>
    <t>Rotaflex Super TSPL 02</t>
  </si>
  <si>
    <t>Rotaflex Super TSPS 02</t>
  </si>
  <si>
    <t>Rotaflex Super WL-w KP 01</t>
  </si>
  <si>
    <t>Rotaflex Super WL-w PP 01</t>
  </si>
  <si>
    <t>Rotaflex Super WL-w TP 01</t>
  </si>
  <si>
    <t>Rotaflex Super W-w PD 01</t>
  </si>
  <si>
    <t>Rotaflex Super W-w PDL 01</t>
  </si>
  <si>
    <t>Rotaflex Super W-w TD 01</t>
  </si>
  <si>
    <t>Rotaflex Super W-w TD 02</t>
  </si>
  <si>
    <t>Rotaflex Super W-w-h FD 01</t>
  </si>
  <si>
    <t>Rotaflex Super W-w-h FD 02</t>
  </si>
  <si>
    <t>Rotaflex Super W-w-h KD 01</t>
  </si>
  <si>
    <t>Rotaflex Super W-w-h KD 02</t>
  </si>
  <si>
    <t>Skelná vlna 1 (do roku 2003)</t>
  </si>
  <si>
    <t>Skelná vlna 2 (do roku 2003)</t>
  </si>
  <si>
    <t>Ursa DF 40</t>
  </si>
  <si>
    <t>Ursa DF 40 h</t>
  </si>
  <si>
    <t>Ursa DF 42</t>
  </si>
  <si>
    <t>Ursa DF 50</t>
  </si>
  <si>
    <t>Ursa DFH 35</t>
  </si>
  <si>
    <t>Ursa FDP 1/V</t>
  </si>
  <si>
    <t>Ursa FDP 2/V</t>
  </si>
  <si>
    <t>Ursa FKP</t>
  </si>
  <si>
    <t>Ursa KDP 1/V</t>
  </si>
  <si>
    <t>Ursa KDP 2/V</t>
  </si>
  <si>
    <t>Ursa SF 35</t>
  </si>
  <si>
    <t>Ursa SF 40</t>
  </si>
  <si>
    <t>Ursa TEP</t>
  </si>
  <si>
    <t>Ursa TFP</t>
  </si>
  <si>
    <t>Ursa TSP</t>
  </si>
  <si>
    <t>Ursa TWF 1</t>
  </si>
  <si>
    <t>Ursa TWP 1</t>
  </si>
  <si>
    <t>Vláknité konopné desky 1</t>
  </si>
  <si>
    <t>Vláknité konopné desky 2</t>
  </si>
  <si>
    <t>Zdivo</t>
  </si>
  <si>
    <t>Kintherm 36 H</t>
  </si>
  <si>
    <t>Kintherm 36 MK &amp; 36 P+D</t>
  </si>
  <si>
    <t>Kintherm 36/14 H</t>
  </si>
  <si>
    <t>Kintherm 44 MK</t>
  </si>
  <si>
    <t>Kintherm 49 H</t>
  </si>
  <si>
    <t>Kintherm 49 MK</t>
  </si>
  <si>
    <t>Liapor M - tř. 12 Mpa</t>
  </si>
  <si>
    <t>Liapor M - tř. 6 Mpa</t>
  </si>
  <si>
    <t>Liapor SL</t>
  </si>
  <si>
    <t>Liatherm + teplá malta</t>
  </si>
  <si>
    <t>Liatherm + váp. malta</t>
  </si>
  <si>
    <t>Liatherm + vápcem.malta</t>
  </si>
  <si>
    <t>NLM 1 - škvárobeton.tvárnice</t>
  </si>
  <si>
    <t>Ostherm 44/140 (VP)</t>
  </si>
  <si>
    <t>Ostherm 44/238</t>
  </si>
  <si>
    <t>Porotherm 11.5 P+D</t>
  </si>
  <si>
    <t>Porotherm 17.5 P+D tř. 1000</t>
  </si>
  <si>
    <t>Porotherm 17.5 P+D tř. 900</t>
  </si>
  <si>
    <t>Porotherm 1NF tl. 115 mm</t>
  </si>
  <si>
    <t>Porotherm 1NF tl. 240 mm</t>
  </si>
  <si>
    <t>Porotherm 24 CB</t>
  </si>
  <si>
    <t>Porotherm 24 P+D tř. 1000</t>
  </si>
  <si>
    <t>Porotherm 24 P+D tř. 900</t>
  </si>
  <si>
    <t>Porotherm 24 tř. 1000</t>
  </si>
  <si>
    <t>Porotherm 24 tř. 900</t>
  </si>
  <si>
    <t>Porotherm 2DF tl. 115 mm</t>
  </si>
  <si>
    <t>Porotherm 2DF tl. 240 mm</t>
  </si>
  <si>
    <t>Porotherm 30 CB</t>
  </si>
  <si>
    <t>Porotherm 30 P+D tř. 1000</t>
  </si>
  <si>
    <t>Porotherm 30 P+D tř. 800</t>
  </si>
  <si>
    <t>Porotherm 30 P+D tř. 900</t>
  </si>
  <si>
    <t>Porotherm 30 tř. 1000</t>
  </si>
  <si>
    <t>Porotherm 30 tř. 900</t>
  </si>
  <si>
    <t>Porotherm 36.5 na maltu lehkou</t>
  </si>
  <si>
    <t>Porotherm 36.5 na maltu obyčejnou</t>
  </si>
  <si>
    <t>Porotherm 36.5 P+D na maltu lehkou</t>
  </si>
  <si>
    <t>Porotherm 36.5 P+D na maltu obyčejnou</t>
  </si>
  <si>
    <t>Porotherm 36.5 tř. 1000</t>
  </si>
  <si>
    <t>Porotherm 36.5 tř. 900</t>
  </si>
  <si>
    <t>Porotherm 3DF tl. 175 mm</t>
  </si>
  <si>
    <t>Porotherm 3DF tl. 240 mm</t>
  </si>
  <si>
    <t>Porotherm 40 CB</t>
  </si>
  <si>
    <t>Porotherm 40 na maltu lehkou</t>
  </si>
  <si>
    <t>Porotherm 40 na maltu obyčejnou</t>
  </si>
  <si>
    <t>Porotherm 40 P+D na maltu lehkou</t>
  </si>
  <si>
    <t>Porotherm 40 P+D na maltu obyčejnou</t>
  </si>
  <si>
    <t>Porotherm 40 Si na maltu obyčejnou</t>
  </si>
  <si>
    <t>Porotherm 40 Si na maltu Porotherm TM</t>
  </si>
  <si>
    <t>Porotherm 44 CB</t>
  </si>
  <si>
    <t>Porotherm 44 na maltu lehkou</t>
  </si>
  <si>
    <t>Porotherm 44 na maltu obyčejnou</t>
  </si>
  <si>
    <t>Porotherm 44 P+D na maltu lehkou</t>
  </si>
  <si>
    <t>Porotherm 44 P+D na maltu obyčejnou</t>
  </si>
  <si>
    <t>Porotherm 44 Si na maltu obyčejnou</t>
  </si>
  <si>
    <t>Porotherm 44 Si na maltu Porotherm TM</t>
  </si>
  <si>
    <t>Porotherm 6.5 P+D</t>
  </si>
  <si>
    <t>Porotherm CP tl. 140 mm</t>
  </si>
  <si>
    <t>Porotherm CP tl. 290 mm</t>
  </si>
  <si>
    <t>Porotherm CP tl. 65 mm</t>
  </si>
  <si>
    <t>Porotherm CV 14 tl. 140 mm</t>
  </si>
  <si>
    <t>Porotherm CV 14 tl. 290 mm</t>
  </si>
  <si>
    <t>Stropní konstrukce Hurdis</t>
  </si>
  <si>
    <t>Supertherm 11.5 P+D</t>
  </si>
  <si>
    <t>Supertherm 17.5 P+D</t>
  </si>
  <si>
    <t>Supertherm 19 Týn P+D</t>
  </si>
  <si>
    <t>Supertherm 24 P+D</t>
  </si>
  <si>
    <t>Supertherm 24 STI - P6</t>
  </si>
  <si>
    <t>Supertherm 30 P+D</t>
  </si>
  <si>
    <t>Supertherm 30 STI - P6</t>
  </si>
  <si>
    <t>Supertherm 36.5 P+D na teplou maltu</t>
  </si>
  <si>
    <t>Supertherm 36.5 STI - P6</t>
  </si>
  <si>
    <t>Supertherm 36.5 STI - P8</t>
  </si>
  <si>
    <t>Supertherm 38 P+D na teplou maltu</t>
  </si>
  <si>
    <t>Supertherm 38 STI - P8</t>
  </si>
  <si>
    <t>Supertherm 40 P+D na teplou maltu</t>
  </si>
  <si>
    <t>Supertherm 40 STI - P6</t>
  </si>
  <si>
    <t>Supertherm 40 STI - P8</t>
  </si>
  <si>
    <t>Supertherm 44 P+D na teplou maltu</t>
  </si>
  <si>
    <t>Supertherm 44 STI - P6</t>
  </si>
  <si>
    <t>Supertherm 44 STI - P8</t>
  </si>
  <si>
    <t>Supertherm 49 P+D na teplou maltu</t>
  </si>
  <si>
    <t>Supertherm 49 STI - P6</t>
  </si>
  <si>
    <t>Supertherm 49 STI - P8</t>
  </si>
  <si>
    <t>Supertherm 6.5 P+D</t>
  </si>
  <si>
    <t>Vápenopískové cihly 2 DF</t>
  </si>
  <si>
    <t>Vápenopískové cihly 3 DF</t>
  </si>
  <si>
    <t>Vápenopískové cihly VPC NF</t>
  </si>
  <si>
    <t>Zdivo 10 DF H tl. 240 mm</t>
  </si>
  <si>
    <t>Zdivo 10 DF H tl. 300 mm</t>
  </si>
  <si>
    <t>Zdivo 12 DF H tl. 365 mm</t>
  </si>
  <si>
    <t>Zdivo 12 DF tl. 240 mm</t>
  </si>
  <si>
    <t>Zdivo 36.5 P+D na maltu běžnou</t>
  </si>
  <si>
    <t>Zdivo 36.5 P+D na maltu izolační</t>
  </si>
  <si>
    <t>Zdivo 38 P+D na maltu běžnou</t>
  </si>
  <si>
    <t>Zdivo 38 P+D na maltu izolační</t>
  </si>
  <si>
    <t>Zdivo 44 P+D na maltu běžnou</t>
  </si>
  <si>
    <t>Zdivo 44 P+D na maltu izolační</t>
  </si>
  <si>
    <t>Zdivo 5 DF tl. 240 mm</t>
  </si>
  <si>
    <t>Zdivo 5 DF tl. 300 mm</t>
  </si>
  <si>
    <t>Zdivo 6 DF Plate tl. 115 mm</t>
  </si>
  <si>
    <t>Zdivo CD 32-tl. 240-v. 113 mm</t>
  </si>
  <si>
    <t>Zdivo CD 32-tl. 240-v. 140 mm</t>
  </si>
  <si>
    <t>Zdivo CD 32-tl. 320-v. 140 mm</t>
  </si>
  <si>
    <t>Zdivo CD 32-tl. 32-v. 113 mm</t>
  </si>
  <si>
    <t>Zdivo CD 36-tl. 240-v. 113 mm</t>
  </si>
  <si>
    <t>Zdivo CD 36-tl. 240-v. 140 mm</t>
  </si>
  <si>
    <t>Zdivo CD 36-tl. 360-v. 113 mm</t>
  </si>
  <si>
    <t>Zdivo CD 36-tl. 360-v. 140 mm</t>
  </si>
  <si>
    <t>Zdivo CD IVA-A+CD IVA-B</t>
  </si>
  <si>
    <t>Zdivo CD IVA-C + CD IVA-B</t>
  </si>
  <si>
    <t>Zdivo CD-INA A tl. 365 mm</t>
  </si>
  <si>
    <t>Zdivo CD-INA L tl. 365 mm</t>
  </si>
  <si>
    <t>Zdivo CDm tl. 115 mm 2</t>
  </si>
  <si>
    <t>Zdivo CDm tl. 1150 mm 1</t>
  </si>
  <si>
    <t>Zdivo CDm tl. 240 mm 1</t>
  </si>
  <si>
    <t>Zdivo CDm tl. 240 mm 2</t>
  </si>
  <si>
    <t>Zdivo CDm tl. 375 mm 1</t>
  </si>
  <si>
    <t>Zdivo CDm tl. 375 mm 2</t>
  </si>
  <si>
    <t>Zdivo CD-TÝN I tl. 190 mm</t>
  </si>
  <si>
    <t>Zdivo CD-TÝN I tl. 290 mm</t>
  </si>
  <si>
    <t>Zdivo CD-TÝN tl. 365 mm</t>
  </si>
  <si>
    <t>Zdivo CP 1</t>
  </si>
  <si>
    <t>Zdivo CP 2</t>
  </si>
  <si>
    <t>Zdivo Pk-CD tl. 140 mm</t>
  </si>
  <si>
    <t>Zdivo Pk-CD tl. 290 mm</t>
  </si>
  <si>
    <t>Podlaha na zemině</t>
  </si>
  <si>
    <t>Činitel teplotní redukce bj</t>
  </si>
  <si>
    <t>hodnocená</t>
  </si>
  <si>
    <t>referenční</t>
  </si>
  <si>
    <t>tepelný tok obálkou budovy</t>
  </si>
  <si>
    <t>CI klasifikace</t>
  </si>
  <si>
    <t>Návrhová vnitřní teplota:</t>
  </si>
  <si>
    <r>
      <t>Orientační energeticky vztažná plocha A</t>
    </r>
    <r>
      <rPr>
        <vertAlign val="subscript"/>
        <sz val="10"/>
        <rFont val="Calibri"/>
        <family val="2"/>
        <charset val="238"/>
        <scheme val="minor"/>
      </rPr>
      <t>EV</t>
    </r>
    <r>
      <rPr>
        <sz val="10"/>
        <rFont val="Calibri"/>
        <family val="2"/>
        <charset val="238"/>
        <scheme val="minor"/>
      </rPr>
      <t>:</t>
    </r>
  </si>
  <si>
    <t>koeficient návrhové teploty e1</t>
  </si>
  <si>
    <t>identifikace nemovistosti</t>
  </si>
  <si>
    <t>Venkovní nárvhové teplota pro zimní období:</t>
  </si>
  <si>
    <t>h-1</t>
  </si>
  <si>
    <t>orientační objem vzduchu budovy</t>
  </si>
  <si>
    <t>m3</t>
  </si>
  <si>
    <t>Orientační tepelná ztráta budovy v kW</t>
  </si>
  <si>
    <t>Hrusovická 752, 268 52 Uhelný důl</t>
  </si>
  <si>
    <t>Jan Novák, Jana Nováková</t>
  </si>
  <si>
    <t>Ing. Luboš Rozumný</t>
  </si>
  <si>
    <t>rozumny@rozumny.eu</t>
  </si>
  <si>
    <t>Katastrální území / parc. Číslo</t>
  </si>
  <si>
    <t>25/1</t>
  </si>
  <si>
    <t>Zpracovatel (název spol. / IČO)</t>
  </si>
  <si>
    <t>Zpracovatel (osoba)</t>
  </si>
  <si>
    <t>222 22 222</t>
  </si>
  <si>
    <t>Datum zpracování</t>
  </si>
  <si>
    <t>fotografie obálky budovy</t>
  </si>
  <si>
    <t>průvzdušnost obálky budovy n50</t>
  </si>
  <si>
    <t>účinnost rekuperace n</t>
  </si>
  <si>
    <t>základní popis hlavních částí obálky budovy z pohledu tepelněizolačních vlastností (stěny, okna, střecha, podlaha)</t>
  </si>
  <si>
    <t>stručný popis obálky budovy</t>
  </si>
  <si>
    <t xml:space="preserve">podpis zpracovatele hodnocení </t>
  </si>
  <si>
    <t>Střecha B / Terasa</t>
  </si>
  <si>
    <t>Podlaha vytápěného suterénu</t>
  </si>
  <si>
    <t>Strop nevytápěného suterénu A</t>
  </si>
  <si>
    <t>ZJEDNODUŠENÝ VÝPOČET VÝKONU OTOPNÉ SOUSTAVY PRO TEPLOTNÍ SPÁD 55/45°C</t>
  </si>
  <si>
    <t>slouží k ověření vhodnosti instalace tepelného čerpadla do objektu (nejedná se o návrhovou pomůcku)</t>
  </si>
  <si>
    <t>Aby bylo vhodné instalovat TČ, musí být splněna následující podmínka. Výkon otopné soustavy pro teplotní spád 55/45°C je vyšší nebo rovný tepelné ztrátě objektu.</t>
  </si>
  <si>
    <t>Před vyplnění tabulky proveďte pasport otopných těles v objektu a rozdělte je dle typu na desková, článková, ostatní a zapište jejich hlavní rozměry (výška, délka)</t>
  </si>
  <si>
    <t>Do tabulky níže zadejte do žlutých políček počet ks/článků dle pasportu otopných těles.</t>
  </si>
  <si>
    <t>U atypických těles je nutné výkon doložit technickým listem výrobce/českého distributora</t>
  </si>
  <si>
    <t>Přílohou k tomuto dokumentu je nutné doložit fotografie všech uvažovaných otopných těles</t>
  </si>
  <si>
    <t>CELKOVÝ VÝKON OTOPNÉ SOUSTAVY</t>
  </si>
  <si>
    <t>kW</t>
  </si>
  <si>
    <t>pro teplotní spád 55/45/20°C</t>
  </si>
  <si>
    <t>TEPELNÁ ZTRÁTA OBJEKTU</t>
  </si>
  <si>
    <t>doplnit dle zjednodušeného výpočtu tepelných ztrát</t>
  </si>
  <si>
    <t>DESKOVÁ OTOPNÁ TĚLESA</t>
  </si>
  <si>
    <t>vyplň počet kusů</t>
  </si>
  <si>
    <t>délka (mm)</t>
  </si>
  <si>
    <t>výška (mm) nebo nejbližší nižší</t>
  </si>
  <si>
    <t>počet desek 1 (typ 10 a 11)</t>
  </si>
  <si>
    <t>počet desek 2 (typ 20, 21 a 22)</t>
  </si>
  <si>
    <t>počet desek 3 (typ 33)</t>
  </si>
  <si>
    <t xml:space="preserve"> do 300</t>
  </si>
  <si>
    <t>nad 2000</t>
  </si>
  <si>
    <t>ČLÁNKOVÁ OTOPNÁ TĚLESA</t>
  </si>
  <si>
    <t>vyplň počet článků</t>
  </si>
  <si>
    <t>výška (mm)</t>
  </si>
  <si>
    <t>hloubka (mm)</t>
  </si>
  <si>
    <t>počet článků</t>
  </si>
  <si>
    <t>OSTATNÍ OTOPNÁ TĚLESA</t>
  </si>
  <si>
    <t>délka (mm) nebo nejbližší nižší</t>
  </si>
  <si>
    <t>atypické OT</t>
  </si>
  <si>
    <t>výkon W pro 55/45/20°C)</t>
  </si>
  <si>
    <t>ks</t>
  </si>
  <si>
    <t>deskové OT</t>
  </si>
  <si>
    <t>článkové OT</t>
  </si>
  <si>
    <t>ostatní OT</t>
  </si>
  <si>
    <t>Tento list má být ve finální verzi skrytý a uzamčený</t>
  </si>
  <si>
    <t>celkový výkon OT</t>
  </si>
  <si>
    <t>W/ks</t>
  </si>
  <si>
    <t>výkon OT</t>
  </si>
  <si>
    <t>W/čl.</t>
  </si>
  <si>
    <t>omezení</t>
  </si>
  <si>
    <t>omezen</t>
  </si>
  <si>
    <t>real</t>
  </si>
  <si>
    <t>A</t>
  </si>
  <si>
    <t>B</t>
  </si>
  <si>
    <t>C</t>
  </si>
  <si>
    <t>E</t>
  </si>
  <si>
    <t>F</t>
  </si>
  <si>
    <t>G</t>
  </si>
  <si>
    <t>D</t>
  </si>
  <si>
    <t>n50</t>
  </si>
  <si>
    <t>delta Uem</t>
  </si>
  <si>
    <t>rozsah</t>
  </si>
  <si>
    <t>dílčí renovace (okna nová)</t>
  </si>
  <si>
    <t>komplexní renovace obálky</t>
  </si>
  <si>
    <t>intenzita přirozeně větraného vzduchu Iz</t>
  </si>
  <si>
    <t>prostup</t>
  </si>
  <si>
    <t>větrání</t>
  </si>
  <si>
    <t>Výkon otopné soustavy při 55 °C v kW</t>
  </si>
  <si>
    <t>reference</t>
  </si>
  <si>
    <t>pro NZÚ</t>
  </si>
  <si>
    <t>;</t>
  </si>
  <si>
    <t>EPS 70F</t>
  </si>
  <si>
    <t>Popis konstrukce</t>
  </si>
  <si>
    <t>Doporučené hodnoty</t>
  </si>
  <si>
    <t>Střecha strmá se sklonem nad 45°</t>
  </si>
  <si>
    <t>Střecha plochá a šikmá se sklonem do 45° včetně</t>
  </si>
  <si>
    <t>Strop s podlahou nad venkovním prostorem</t>
  </si>
  <si>
    <t>Strop pod nevytápěnou půdou (se střechou bez tepelné izolace)</t>
  </si>
  <si>
    <t>Strop a stěna vnitřní z vytápěného k nevytápěnému prostoru</t>
  </si>
  <si>
    <t>Strop a stěna vnitřní z vytápěného k temperovanému prostoru</t>
  </si>
  <si>
    <t>Strop a stěna vnější z temperovaného prostoru k venkovnímu prostředí</t>
  </si>
  <si>
    <t>Strop mezi prostory s rozdílem teplot do 10 °C včetně</t>
  </si>
  <si>
    <t>Stěna mezi prostory s rozdílem teplot do 10 °C včetně</t>
  </si>
  <si>
    <t>Strop vnitřní mezi prostory s rozdílem teplot do 5 °C včetně</t>
  </si>
  <si>
    <t>Stěna vnitřní mezi prostory s rozdílem teplot do 5 °C včetně</t>
  </si>
  <si>
    <t>Výplň otvoru vedoucí z vytápěného do temperovaného prostoru</t>
  </si>
  <si>
    <t>Kovový rám výplně otvoru</t>
  </si>
  <si>
    <t>-</t>
  </si>
  <si>
    <t>Rám lehkého obvodového pláště</t>
  </si>
  <si>
    <t>Součinitel prostupu tepla [W/(m2·K)]</t>
  </si>
  <si>
    <t>Podlaha a stěna temperovaného prostoru přilehlá k zemině 6)</t>
  </si>
  <si>
    <t>0,3 + 1,4·fw</t>
  </si>
  <si>
    <t>0,2 + fw</t>
  </si>
  <si>
    <t>fw &gt; 0,5</t>
  </si>
  <si>
    <t>0,7 + 0,6·fw</t>
  </si>
  <si>
    <t>Stěna vnější, těžká</t>
  </si>
  <si>
    <t>Stěna vnější, lehká</t>
  </si>
  <si>
    <t>Stěna těžká k nevytápěné půdě (se střechou bez tepelné izolace)</t>
  </si>
  <si>
    <t>Stěna lehká k nevytápěné půdě (se střechou bez tepelné izolace)</t>
  </si>
  <si>
    <t>Šikmá výplň otvoru se sklonem do 45°, z vytápěného prostoru do venkovního prostředí</t>
  </si>
  <si>
    <t>Výplň otvoru ve vnější stěně a strmé střeše, z vytápěného prostoru do venkovního prostředí, kromě dveří</t>
  </si>
  <si>
    <t>Dveřní výplň otvoru z vytápěného prostoru do venkovního prostředí (včetně rámu)</t>
  </si>
  <si>
    <t>Výplň otvoru vedoucí z temperovaného prostoru do venkovního prostředí</t>
  </si>
  <si>
    <t>Šikmá výplň otvoru se sklonem do 45° vedoucí z temperovaného prostoru do venkovního prostředí</t>
  </si>
  <si>
    <t>Vnější stěny (fasáda)</t>
  </si>
  <si>
    <t>Stěny v kontaktu se zeminou</t>
  </si>
  <si>
    <t>Střechy</t>
  </si>
  <si>
    <t>Dveře vchodové</t>
  </si>
  <si>
    <t>Okna a balkonové dveře</t>
  </si>
  <si>
    <t>Konstrukce k nevytápěným prostorům</t>
  </si>
  <si>
    <t>Podlaha nad nevytápěným suterénem</t>
  </si>
  <si>
    <t>Vnější dveře A</t>
  </si>
  <si>
    <t>Vnější dveře B</t>
  </si>
  <si>
    <t xml:space="preserve">Nekovový rám výplně otvoru </t>
  </si>
  <si>
    <t>Lehký obvodový plášť (LOP), hodnocený jako smontovaná sestava včetně nosných prvků, s poměrnou plochou průsvitné výplně otvoru
   fw = Aw / A, 
kde
A  je celková plocha (LOP);
Aw  plocha průsvitné výplně otvoru.</t>
  </si>
  <si>
    <t>fw ≤ 0,5</t>
  </si>
  <si>
    <t>Podlaha a stěna vytápěného prostoru přilehlá k zemině</t>
  </si>
  <si>
    <t xml:space="preserve">Stěna mezi sousedními budovami </t>
  </si>
  <si>
    <t>pasivní dům</t>
  </si>
  <si>
    <t>nízkoenergetický dům</t>
  </si>
  <si>
    <t>původní okna</t>
  </si>
  <si>
    <t>otopná soustava</t>
  </si>
  <si>
    <t>Desková nebo článková tělesa</t>
  </si>
  <si>
    <t>Otopná soustava</t>
  </si>
  <si>
    <t>Cihla plná</t>
  </si>
  <si>
    <t>Stěna cihelná se zateplením EPS</t>
  </si>
  <si>
    <t>Podlahové topení (telovodní)</t>
  </si>
  <si>
    <r>
      <t>plocha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</si>
  <si>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měrný výkon (W/m2)</t>
  </si>
  <si>
    <t>Výkon</t>
  </si>
  <si>
    <t>vyplň údaje</t>
  </si>
  <si>
    <t>úsek</t>
  </si>
  <si>
    <t>Kombinace otopných těles a podlahového UT</t>
  </si>
  <si>
    <t>Ve všech obytných místnostech podlahové UT</t>
  </si>
  <si>
    <t>Plocha
m²</t>
  </si>
  <si>
    <t>Souč. U
 W/(m²K)</t>
  </si>
  <si>
    <t>souč. UN,20
 W/(m²K)</t>
  </si>
  <si>
    <t>realný</t>
  </si>
  <si>
    <t>oprávněné osoby</t>
  </si>
  <si>
    <t>Typ oprávnění zpracovatele</t>
  </si>
  <si>
    <t>Instalatér soustav s tepelnými čerpadly a mělkých geotermálních systémů (26-074-M)</t>
  </si>
  <si>
    <t>Jiné, doklad v příloze (např. v zahraničí vydaná oprávnění)</t>
  </si>
  <si>
    <t>Firma oprávněná dle §10d zákona č. 406/2000 Sb. k montáži OZE</t>
  </si>
  <si>
    <t>vyberte ze seznamu</t>
  </si>
  <si>
    <t>Osoba autorizovaná podle zákona č. 360/1992 Sb.</t>
  </si>
  <si>
    <t>Energetický specialista dle § 10 odst. 1 písm. a) nebo b) zákona č. 406/2000 Sb.</t>
  </si>
  <si>
    <r>
      <t xml:space="preserve">rok dokončení stavby </t>
    </r>
    <r>
      <rPr>
        <i/>
        <sz val="10"/>
        <rFont val="Calibri"/>
        <family val="2"/>
        <charset val="238"/>
        <scheme val="minor"/>
      </rPr>
      <t>(pro starší budovy odhad)</t>
    </r>
    <r>
      <rPr>
        <sz val="10"/>
        <rFont val="Calibri"/>
        <family val="2"/>
        <charset val="238"/>
        <scheme val="minor"/>
      </rPr>
      <t>:</t>
    </r>
  </si>
  <si>
    <r>
      <rPr>
        <b/>
        <sz val="18"/>
        <rFont val="Calibri"/>
        <family val="2"/>
        <charset val="238"/>
        <scheme val="minor"/>
      </rPr>
      <t xml:space="preserve">Bilance obálky budovy pro potřeby programů NZU Light v rámci Modernizačního fondu, oblast podpory C.1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
(není potřeba vyplňovat pro nemovitosti dokončené po 1.1.2009 a pro nemovitosti, kde původním zdrojem bylo elektrické vytápění)                                                 </t>
    </r>
  </si>
  <si>
    <t>XXX</t>
  </si>
  <si>
    <t>Strop pod půdou</t>
  </si>
  <si>
    <t>připojovací rozteč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</si>
</sst>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6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color theme="1"/>
      <name val="Helvetica Neue Light"/>
      <charset val="238"/>
    </font>
    <font>
      <u/>
      <sz val="10"/>
      <color theme="10"/>
      <name val="Arial CE"/>
      <charset val="238"/>
    </font>
    <font>
      <sz val="8"/>
      <color theme="1"/>
      <name val="Helvetica Neue"/>
      <family val="2"/>
    </font>
    <font>
      <sz val="10"/>
      <name val="MS Sans Serif"/>
      <family val="2"/>
    </font>
    <font>
      <sz val="10"/>
      <name val="Helv"/>
    </font>
    <font>
      <sz val="10"/>
      <color indexed="8"/>
      <name val="Tahoma"/>
      <family val="2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vertAlign val="subscript"/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vertAlign val="subscript"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61"/>
      <name val="Calibri"/>
      <family val="2"/>
      <charset val="238"/>
      <scheme val="minor"/>
    </font>
    <font>
      <sz val="12"/>
      <color indexed="6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24"/>
      <name val="Arial"/>
      <family val="2"/>
    </font>
    <font>
      <b/>
      <sz val="2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Symbol"/>
      <family val="1"/>
      <charset val="2"/>
    </font>
    <font>
      <vertAlign val="sub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sz val="24"/>
      <name val="Calibri"/>
      <family val="2"/>
      <charset val="238"/>
    </font>
    <font>
      <b/>
      <sz val="8"/>
      <color theme="1"/>
      <name val="Helvetica Neue"/>
      <family val="2"/>
    </font>
    <font>
      <i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 tint="-0.249977111117893"/>
      <name val="Calibri"/>
      <family val="2"/>
      <charset val="238"/>
      <scheme val="minor"/>
    </font>
    <font>
      <b/>
      <sz val="10"/>
      <color rgb="FF993366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8"/>
      <color theme="1"/>
      <name val="Helvetica Neue Light"/>
      <charset val="238"/>
    </font>
    <font>
      <vertAlign val="superscript"/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8"/>
      <color theme="0" tint="-0.14999847407452621"/>
      <name val="Calibri"/>
      <family val="2"/>
      <charset val="238"/>
      <scheme val="minor"/>
    </font>
    <font>
      <b/>
      <sz val="14"/>
      <color theme="0" tint="-0.14999847407452621"/>
      <name val="Calibri"/>
      <family val="2"/>
      <charset val="238"/>
      <scheme val="minor"/>
    </font>
    <font>
      <b/>
      <sz val="14"/>
      <color rgb="FF00B0F0"/>
      <name val="Calibri"/>
      <family val="2"/>
      <charset val="238"/>
      <scheme val="minor"/>
    </font>
    <font>
      <b/>
      <sz val="12"/>
      <color rgb="FF00B0F0"/>
      <name val="Calibri"/>
      <family val="2"/>
      <charset val="238"/>
      <scheme val="minor"/>
    </font>
    <font>
      <b/>
      <sz val="14"/>
      <color rgb="FFE439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C3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9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/>
    <xf numFmtId="0" fontId="11" fillId="0" borderId="0"/>
    <xf numFmtId="0" fontId="12" fillId="0" borderId="0"/>
    <xf numFmtId="0" fontId="11" fillId="0" borderId="0"/>
    <xf numFmtId="0" fontId="36" fillId="0" borderId="0"/>
    <xf numFmtId="0" fontId="4" fillId="0" borderId="0"/>
  </cellStyleXfs>
  <cellXfs count="431">
    <xf numFmtId="0" fontId="0" fillId="0" borderId="0" xfId="0"/>
    <xf numFmtId="0" fontId="0" fillId="2" borderId="0" xfId="0" applyFill="1"/>
    <xf numFmtId="0" fontId="14" fillId="2" borderId="2" xfId="5" applyFont="1" applyFill="1" applyBorder="1"/>
    <xf numFmtId="0" fontId="15" fillId="2" borderId="3" xfId="5" applyFont="1" applyFill="1" applyBorder="1" applyAlignment="1">
      <alignment horizontal="right"/>
    </xf>
    <xf numFmtId="0" fontId="15" fillId="2" borderId="3" xfId="5" applyFont="1" applyFill="1" applyBorder="1"/>
    <xf numFmtId="0" fontId="14" fillId="2" borderId="3" xfId="5" applyFont="1" applyFill="1" applyBorder="1"/>
    <xf numFmtId="0" fontId="14" fillId="2" borderId="4" xfId="5" applyFont="1" applyFill="1" applyBorder="1"/>
    <xf numFmtId="0" fontId="14" fillId="2" borderId="0" xfId="5" applyFont="1" applyFill="1"/>
    <xf numFmtId="0" fontId="14" fillId="2" borderId="0" xfId="0" applyFont="1" applyFill="1"/>
    <xf numFmtId="0" fontId="14" fillId="2" borderId="5" xfId="5" applyFont="1" applyFill="1" applyBorder="1"/>
    <xf numFmtId="0" fontId="14" fillId="2" borderId="0" xfId="0" applyFont="1" applyFill="1" applyAlignment="1">
      <alignment horizontal="right"/>
    </xf>
    <xf numFmtId="0" fontId="14" fillId="2" borderId="1" xfId="5" applyFont="1" applyFill="1" applyBorder="1"/>
    <xf numFmtId="0" fontId="20" fillId="2" borderId="0" xfId="5" applyFont="1" applyFill="1"/>
    <xf numFmtId="0" fontId="15" fillId="2" borderId="0" xfId="5" quotePrefix="1" applyFont="1" applyFill="1" applyAlignment="1">
      <alignment horizontal="right" vertical="center"/>
    </xf>
    <xf numFmtId="0" fontId="15" fillId="2" borderId="0" xfId="0" applyFont="1" applyFill="1"/>
    <xf numFmtId="0" fontId="20" fillId="2" borderId="0" xfId="5" applyFont="1" applyFill="1" applyAlignment="1">
      <alignment horizontal="right"/>
    </xf>
    <xf numFmtId="0" fontId="15" fillId="2" borderId="0" xfId="5" applyFont="1" applyFill="1" applyAlignment="1">
      <alignment horizontal="left"/>
    </xf>
    <xf numFmtId="0" fontId="15" fillId="2" borderId="0" xfId="5" applyFont="1" applyFill="1" applyAlignment="1">
      <alignment horizontal="center"/>
    </xf>
    <xf numFmtId="0" fontId="15" fillId="2" borderId="0" xfId="5" applyFont="1" applyFill="1" applyAlignment="1">
      <alignment horizontal="right" vertical="center"/>
    </xf>
    <xf numFmtId="0" fontId="15" fillId="2" borderId="0" xfId="1" applyFont="1" applyFill="1"/>
    <xf numFmtId="0" fontId="14" fillId="2" borderId="5" xfId="5" quotePrefix="1" applyFont="1" applyFill="1" applyBorder="1" applyAlignment="1">
      <alignment horizontal="right"/>
    </xf>
    <xf numFmtId="0" fontId="15" fillId="2" borderId="1" xfId="5" applyFont="1" applyFill="1" applyBorder="1"/>
    <xf numFmtId="2" fontId="14" fillId="2" borderId="0" xfId="5" applyNumberFormat="1" applyFont="1" applyFill="1"/>
    <xf numFmtId="0" fontId="14" fillId="2" borderId="0" xfId="5" applyFont="1" applyFill="1" applyAlignment="1">
      <alignment horizontal="right"/>
    </xf>
    <xf numFmtId="0" fontId="15" fillId="2" borderId="0" xfId="5" applyFont="1" applyFill="1" applyAlignment="1">
      <alignment vertical="center"/>
    </xf>
    <xf numFmtId="0" fontId="15" fillId="2" borderId="0" xfId="1" applyFont="1" applyFill="1" applyAlignment="1">
      <alignment horizontal="right"/>
    </xf>
    <xf numFmtId="0" fontId="15" fillId="2" borderId="0" xfId="5" applyFont="1" applyFill="1" applyAlignment="1">
      <alignment horizontal="right"/>
    </xf>
    <xf numFmtId="9" fontId="15" fillId="2" borderId="0" xfId="0" applyNumberFormat="1" applyFont="1" applyFill="1" applyAlignment="1">
      <alignment horizontal="center" vertical="center"/>
    </xf>
    <xf numFmtId="0" fontId="15" fillId="2" borderId="1" xfId="5" applyFont="1" applyFill="1" applyBorder="1" applyAlignment="1">
      <alignment vertical="center"/>
    </xf>
    <xf numFmtId="0" fontId="19" fillId="2" borderId="0" xfId="5" applyFont="1" applyFill="1" applyAlignment="1">
      <alignment horizontal="right" vertical="center"/>
    </xf>
    <xf numFmtId="2" fontId="20" fillId="2" borderId="0" xfId="5" applyNumberFormat="1" applyFont="1" applyFill="1"/>
    <xf numFmtId="0" fontId="14" fillId="2" borderId="13" xfId="5" applyFont="1" applyFill="1" applyBorder="1"/>
    <xf numFmtId="0" fontId="14" fillId="2" borderId="14" xfId="5" applyFont="1" applyFill="1" applyBorder="1"/>
    <xf numFmtId="0" fontId="14" fillId="2" borderId="14" xfId="5" applyFont="1" applyFill="1" applyBorder="1" applyAlignment="1">
      <alignment horizontal="right"/>
    </xf>
    <xf numFmtId="2" fontId="14" fillId="2" borderId="14" xfId="5" applyNumberFormat="1" applyFont="1" applyFill="1" applyBorder="1"/>
    <xf numFmtId="0" fontId="14" fillId="2" borderId="15" xfId="5" applyFont="1" applyFill="1" applyBorder="1"/>
    <xf numFmtId="166" fontId="14" fillId="2" borderId="0" xfId="5" applyNumberFormat="1" applyFont="1" applyFill="1"/>
    <xf numFmtId="0" fontId="14" fillId="2" borderId="0" xfId="5" applyFont="1" applyFill="1" applyAlignment="1">
      <alignment vertical="center"/>
    </xf>
    <xf numFmtId="164" fontId="22" fillId="2" borderId="10" xfId="6" applyNumberFormat="1" applyFont="1" applyFill="1" applyBorder="1" applyAlignment="1">
      <alignment horizontal="centerContinuous" vertical="center"/>
    </xf>
    <xf numFmtId="0" fontId="19" fillId="2" borderId="0" xfId="5" applyFont="1" applyFill="1"/>
    <xf numFmtId="165" fontId="22" fillId="2" borderId="11" xfId="6" applyNumberFormat="1" applyFont="1" applyFill="1" applyBorder="1" applyAlignment="1">
      <alignment horizontal="centerContinuous" vertical="center"/>
    </xf>
    <xf numFmtId="0" fontId="22" fillId="2" borderId="12" xfId="6" applyFont="1" applyFill="1" applyBorder="1" applyAlignment="1">
      <alignment horizontal="centerContinuous" vertical="center"/>
    </xf>
    <xf numFmtId="0" fontId="19" fillId="2" borderId="14" xfId="5" applyFont="1" applyFill="1" applyBorder="1"/>
    <xf numFmtId="0" fontId="19" fillId="3" borderId="8" xfId="6" applyFont="1" applyFill="1" applyBorder="1" applyAlignment="1" applyProtection="1">
      <alignment horizontal="left" vertical="center"/>
      <protection locked="0"/>
    </xf>
    <xf numFmtId="165" fontId="19" fillId="3" borderId="6" xfId="6" applyNumberFormat="1" applyFont="1" applyFill="1" applyBorder="1" applyAlignment="1" applyProtection="1">
      <alignment horizontal="center" vertical="center"/>
      <protection locked="0"/>
    </xf>
    <xf numFmtId="2" fontId="19" fillId="3" borderId="6" xfId="6" applyNumberFormat="1" applyFont="1" applyFill="1" applyBorder="1" applyAlignment="1" applyProtection="1">
      <alignment horizontal="center" vertical="center"/>
      <protection locked="0"/>
    </xf>
    <xf numFmtId="0" fontId="19" fillId="3" borderId="7" xfId="6" applyFont="1" applyFill="1" applyBorder="1" applyAlignment="1" applyProtection="1">
      <alignment horizontal="left" vertical="center"/>
      <protection locked="0"/>
    </xf>
    <xf numFmtId="1" fontId="19" fillId="3" borderId="6" xfId="6" applyNumberFormat="1" applyFont="1" applyFill="1" applyBorder="1" applyAlignment="1" applyProtection="1">
      <alignment horizontal="center" vertical="center"/>
      <protection locked="0"/>
    </xf>
    <xf numFmtId="1" fontId="19" fillId="3" borderId="6" xfId="3" applyNumberFormat="1" applyFont="1" applyFill="1" applyBorder="1" applyAlignment="1" applyProtection="1">
      <alignment horizontal="center" vertical="center"/>
      <protection locked="0"/>
    </xf>
    <xf numFmtId="166" fontId="14" fillId="2" borderId="0" xfId="5" applyNumberFormat="1" applyFont="1" applyFill="1" applyAlignment="1">
      <alignment horizontal="right"/>
    </xf>
    <xf numFmtId="166" fontId="19" fillId="3" borderId="6" xfId="6" applyNumberFormat="1" applyFont="1" applyFill="1" applyBorder="1" applyAlignment="1" applyProtection="1">
      <alignment horizontal="center" vertical="center"/>
      <protection locked="0"/>
    </xf>
    <xf numFmtId="0" fontId="36" fillId="2" borderId="24" xfId="9" applyFill="1" applyBorder="1"/>
    <xf numFmtId="0" fontId="36" fillId="2" borderId="25" xfId="9" applyFill="1" applyBorder="1"/>
    <xf numFmtId="0" fontId="36" fillId="2" borderId="26" xfId="9" applyFill="1" applyBorder="1"/>
    <xf numFmtId="0" fontId="36" fillId="2" borderId="27" xfId="9" applyFill="1" applyBorder="1"/>
    <xf numFmtId="0" fontId="36" fillId="2" borderId="18" xfId="9" applyFill="1" applyBorder="1"/>
    <xf numFmtId="0" fontId="36" fillId="2" borderId="19" xfId="9" applyFill="1" applyBorder="1"/>
    <xf numFmtId="0" fontId="37" fillId="2" borderId="21" xfId="9" applyFont="1" applyFill="1" applyBorder="1" applyAlignment="1">
      <alignment horizontal="center" vertical="center"/>
    </xf>
    <xf numFmtId="0" fontId="37" fillId="2" borderId="22" xfId="9" applyFont="1" applyFill="1" applyBorder="1" applyAlignment="1">
      <alignment horizontal="center" vertical="center"/>
    </xf>
    <xf numFmtId="0" fontId="37" fillId="2" borderId="22" xfId="9" applyFont="1" applyFill="1" applyBorder="1" applyAlignment="1">
      <alignment horizontal="center" vertical="center" wrapText="1"/>
    </xf>
    <xf numFmtId="0" fontId="37" fillId="2" borderId="23" xfId="9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35" fillId="2" borderId="0" xfId="0" applyFont="1" applyFill="1" applyAlignment="1">
      <alignment horizontal="left" vertical="center"/>
    </xf>
    <xf numFmtId="0" fontId="4" fillId="0" borderId="0" xfId="10"/>
    <xf numFmtId="0" fontId="4" fillId="0" borderId="0" xfId="10" applyAlignment="1">
      <alignment horizontal="left"/>
    </xf>
    <xf numFmtId="0" fontId="4" fillId="0" borderId="0" xfId="10" applyAlignment="1">
      <alignment horizontal="center"/>
    </xf>
    <xf numFmtId="0" fontId="4" fillId="12" borderId="0" xfId="10" applyFill="1" applyAlignment="1">
      <alignment horizontal="left"/>
    </xf>
    <xf numFmtId="0" fontId="4" fillId="12" borderId="0" xfId="10" applyFill="1"/>
    <xf numFmtId="0" fontId="4" fillId="12" borderId="69" xfId="10" applyFill="1" applyBorder="1" applyAlignment="1">
      <alignment wrapText="1"/>
    </xf>
    <xf numFmtId="0" fontId="4" fillId="12" borderId="70" xfId="10" applyFill="1" applyBorder="1" applyAlignment="1">
      <alignment wrapText="1"/>
    </xf>
    <xf numFmtId="0" fontId="4" fillId="12" borderId="71" xfId="10" applyFill="1" applyBorder="1"/>
    <xf numFmtId="0" fontId="4" fillId="0" borderId="69" xfId="10" applyBorder="1"/>
    <xf numFmtId="0" fontId="4" fillId="0" borderId="70" xfId="10" applyBorder="1"/>
    <xf numFmtId="0" fontId="4" fillId="0" borderId="71" xfId="10" applyBorder="1"/>
    <xf numFmtId="0" fontId="4" fillId="3" borderId="0" xfId="10" applyFill="1"/>
    <xf numFmtId="164" fontId="4" fillId="3" borderId="0" xfId="10" applyNumberFormat="1" applyFill="1"/>
    <xf numFmtId="0" fontId="4" fillId="3" borderId="15" xfId="10" applyFill="1" applyBorder="1" applyAlignment="1" applyProtection="1">
      <alignment horizontal="center" vertical="center"/>
      <protection locked="0"/>
    </xf>
    <xf numFmtId="0" fontId="4" fillId="3" borderId="56" xfId="10" applyFill="1" applyBorder="1" applyAlignment="1" applyProtection="1">
      <alignment horizontal="center" vertical="center"/>
      <protection locked="0"/>
    </xf>
    <xf numFmtId="0" fontId="4" fillId="3" borderId="57" xfId="10" applyFill="1" applyBorder="1" applyAlignment="1" applyProtection="1">
      <alignment horizontal="center" vertical="center"/>
      <protection locked="0"/>
    </xf>
    <xf numFmtId="0" fontId="4" fillId="3" borderId="12" xfId="10" applyFill="1" applyBorder="1" applyAlignment="1" applyProtection="1">
      <alignment horizontal="center" vertical="center"/>
      <protection locked="0"/>
    </xf>
    <xf numFmtId="0" fontId="4" fillId="3" borderId="10" xfId="10" applyFill="1" applyBorder="1" applyAlignment="1" applyProtection="1">
      <alignment horizontal="center" vertical="center"/>
      <protection locked="0"/>
    </xf>
    <xf numFmtId="0" fontId="4" fillId="3" borderId="50" xfId="10" applyFill="1" applyBorder="1" applyAlignment="1" applyProtection="1">
      <alignment horizontal="center" vertical="center"/>
      <protection locked="0"/>
    </xf>
    <xf numFmtId="0" fontId="4" fillId="3" borderId="53" xfId="10" applyFill="1" applyBorder="1" applyAlignment="1" applyProtection="1">
      <alignment horizontal="center" vertical="center"/>
      <protection locked="0"/>
    </xf>
    <xf numFmtId="0" fontId="4" fillId="3" borderId="15" xfId="10" applyFill="1" applyBorder="1" applyProtection="1">
      <protection locked="0"/>
    </xf>
    <xf numFmtId="0" fontId="4" fillId="3" borderId="56" xfId="10" applyFill="1" applyBorder="1" applyProtection="1">
      <protection locked="0"/>
    </xf>
    <xf numFmtId="0" fontId="4" fillId="3" borderId="57" xfId="10" applyFill="1" applyBorder="1" applyProtection="1">
      <protection locked="0"/>
    </xf>
    <xf numFmtId="0" fontId="4" fillId="3" borderId="12" xfId="10" applyFill="1" applyBorder="1" applyProtection="1">
      <protection locked="0"/>
    </xf>
    <xf numFmtId="0" fontId="4" fillId="3" borderId="10" xfId="10" applyFill="1" applyBorder="1" applyProtection="1">
      <protection locked="0"/>
    </xf>
    <xf numFmtId="0" fontId="4" fillId="3" borderId="50" xfId="10" applyFill="1" applyBorder="1" applyProtection="1">
      <protection locked="0"/>
    </xf>
    <xf numFmtId="0" fontId="4" fillId="3" borderId="4" xfId="10" applyFill="1" applyBorder="1" applyProtection="1">
      <protection locked="0"/>
    </xf>
    <xf numFmtId="0" fontId="4" fillId="3" borderId="64" xfId="10" applyFill="1" applyBorder="1" applyProtection="1">
      <protection locked="0"/>
    </xf>
    <xf numFmtId="0" fontId="4" fillId="3" borderId="65" xfId="10" applyFill="1" applyBorder="1" applyProtection="1">
      <protection locked="0"/>
    </xf>
    <xf numFmtId="0" fontId="4" fillId="3" borderId="52" xfId="10" applyFill="1" applyBorder="1" applyProtection="1">
      <protection locked="0"/>
    </xf>
    <xf numFmtId="0" fontId="4" fillId="3" borderId="54" xfId="10" applyFill="1" applyBorder="1" applyProtection="1">
      <protection locked="0"/>
    </xf>
    <xf numFmtId="1" fontId="28" fillId="3" borderId="18" xfId="8" applyNumberFormat="1" applyFont="1" applyFill="1" applyBorder="1" applyAlignment="1" applyProtection="1">
      <alignment horizontal="center" vertical="center"/>
      <protection locked="0"/>
    </xf>
    <xf numFmtId="2" fontId="28" fillId="3" borderId="18" xfId="8" applyNumberFormat="1" applyFont="1" applyFill="1" applyBorder="1" applyAlignment="1" applyProtection="1">
      <alignment horizontal="center" vertical="center"/>
      <protection locked="0"/>
    </xf>
    <xf numFmtId="164" fontId="29" fillId="5" borderId="18" xfId="8" applyNumberFormat="1" applyFont="1" applyFill="1" applyBorder="1" applyAlignment="1" applyProtection="1">
      <alignment horizontal="center" vertical="center"/>
      <protection locked="0"/>
    </xf>
    <xf numFmtId="0" fontId="43" fillId="2" borderId="0" xfId="0" applyFont="1" applyFill="1" applyAlignment="1">
      <alignment horizontal="left" vertical="center"/>
    </xf>
    <xf numFmtId="0" fontId="25" fillId="2" borderId="0" xfId="0" applyFont="1" applyFill="1"/>
    <xf numFmtId="0" fontId="25" fillId="2" borderId="0" xfId="0" applyFont="1" applyFill="1" applyAlignment="1">
      <alignment horizontal="right"/>
    </xf>
    <xf numFmtId="0" fontId="14" fillId="2" borderId="0" xfId="7" applyFont="1" applyFill="1" applyAlignment="1">
      <alignment horizontal="centerContinuous" vertical="top"/>
    </xf>
    <xf numFmtId="0" fontId="14" fillId="2" borderId="0" xfId="0" applyFont="1" applyFill="1" applyAlignment="1">
      <alignment vertical="top"/>
    </xf>
    <xf numFmtId="0" fontId="26" fillId="2" borderId="0" xfId="7" applyFont="1" applyFill="1" applyAlignment="1">
      <alignment horizontal="centerContinuous" vertical="top"/>
    </xf>
    <xf numFmtId="0" fontId="14" fillId="2" borderId="0" xfId="0" applyFont="1" applyFill="1" applyAlignment="1">
      <alignment horizontal="centerContinuous"/>
    </xf>
    <xf numFmtId="0" fontId="14" fillId="2" borderId="0" xfId="0" applyFont="1" applyFill="1" applyAlignment="1">
      <alignment horizontal="centerContinuous" vertical="top"/>
    </xf>
    <xf numFmtId="2" fontId="27" fillId="2" borderId="0" xfId="8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right" vertical="top"/>
    </xf>
    <xf numFmtId="0" fontId="44" fillId="2" borderId="0" xfId="7" applyFont="1" applyFill="1" applyAlignment="1">
      <alignment vertical="center"/>
    </xf>
    <xf numFmtId="0" fontId="14" fillId="2" borderId="0" xfId="7" applyFont="1" applyFill="1" applyAlignment="1">
      <alignment horizontal="right" vertical="center"/>
    </xf>
    <xf numFmtId="164" fontId="29" fillId="5" borderId="18" xfId="8" applyNumberFormat="1" applyFont="1" applyFill="1" applyBorder="1" applyAlignment="1">
      <alignment horizontal="center" vertical="center"/>
    </xf>
    <xf numFmtId="0" fontId="15" fillId="2" borderId="0" xfId="7" applyFont="1" applyFill="1" applyAlignment="1">
      <alignment horizontal="left" vertical="center"/>
    </xf>
    <xf numFmtId="0" fontId="47" fillId="2" borderId="1" xfId="0" applyFont="1" applyFill="1" applyBorder="1" applyAlignment="1">
      <alignment horizontal="left" vertical="center"/>
    </xf>
    <xf numFmtId="0" fontId="19" fillId="2" borderId="0" xfId="0" applyFont="1" applyFill="1" applyAlignment="1">
      <alignment vertical="top"/>
    </xf>
    <xf numFmtId="0" fontId="23" fillId="2" borderId="0" xfId="8" applyFont="1" applyFill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31" fillId="2" borderId="0" xfId="8" applyFont="1" applyFill="1" applyAlignment="1">
      <alignment horizontal="left" vertical="center"/>
    </xf>
    <xf numFmtId="1" fontId="18" fillId="2" borderId="0" xfId="8" applyNumberFormat="1" applyFont="1" applyFill="1" applyAlignment="1">
      <alignment horizontal="center" vertical="center"/>
    </xf>
    <xf numFmtId="0" fontId="14" fillId="2" borderId="0" xfId="7" applyFont="1" applyFill="1" applyAlignment="1">
      <alignment horizontal="centerContinuous"/>
    </xf>
    <xf numFmtId="2" fontId="27" fillId="2" borderId="0" xfId="8" applyNumberFormat="1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0" xfId="7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0" xfId="8" applyFont="1" applyFill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1" fontId="14" fillId="2" borderId="0" xfId="0" applyNumberFormat="1" applyFont="1" applyFill="1" applyAlignment="1">
      <alignment horizontal="center" vertical="center"/>
    </xf>
    <xf numFmtId="1" fontId="14" fillId="2" borderId="18" xfId="7" applyNumberFormat="1" applyFont="1" applyFill="1" applyBorder="1" applyAlignment="1">
      <alignment horizontal="center" vertical="center"/>
    </xf>
    <xf numFmtId="2" fontId="29" fillId="5" borderId="18" xfId="8" applyNumberFormat="1" applyFont="1" applyFill="1" applyBorder="1" applyAlignment="1">
      <alignment horizontal="center" vertical="center"/>
    </xf>
    <xf numFmtId="164" fontId="27" fillId="2" borderId="0" xfId="8" applyNumberFormat="1" applyFont="1" applyFill="1" applyAlignment="1">
      <alignment horizontal="center" vertical="center"/>
    </xf>
    <xf numFmtId="164" fontId="27" fillId="2" borderId="18" xfId="8" applyNumberFormat="1" applyFont="1" applyFill="1" applyBorder="1" applyAlignment="1">
      <alignment horizontal="center" vertical="center"/>
    </xf>
    <xf numFmtId="1" fontId="19" fillId="2" borderId="0" xfId="0" applyNumberFormat="1" applyFont="1" applyFill="1" applyAlignment="1">
      <alignment horizontal="center" vertical="center"/>
    </xf>
    <xf numFmtId="164" fontId="14" fillId="2" borderId="0" xfId="0" applyNumberFormat="1" applyFont="1" applyFill="1" applyAlignment="1">
      <alignment horizontal="center" vertical="center"/>
    </xf>
    <xf numFmtId="164" fontId="20" fillId="2" borderId="34" xfId="8" applyNumberFormat="1" applyFont="1" applyFill="1" applyBorder="1" applyAlignment="1">
      <alignment horizontal="left" vertical="center"/>
    </xf>
    <xf numFmtId="164" fontId="29" fillId="2" borderId="34" xfId="8" applyNumberFormat="1" applyFont="1" applyFill="1" applyBorder="1" applyAlignment="1">
      <alignment horizontal="left" vertical="center"/>
    </xf>
    <xf numFmtId="0" fontId="14" fillId="2" borderId="34" xfId="7" applyFont="1" applyFill="1" applyBorder="1"/>
    <xf numFmtId="1" fontId="28" fillId="2" borderId="34" xfId="8" applyNumberFormat="1" applyFont="1" applyFill="1" applyBorder="1" applyAlignment="1">
      <alignment horizontal="center" vertical="center"/>
    </xf>
    <xf numFmtId="2" fontId="28" fillId="2" borderId="34" xfId="8" applyNumberFormat="1" applyFont="1" applyFill="1" applyBorder="1" applyAlignment="1">
      <alignment horizontal="center" vertical="center"/>
    </xf>
    <xf numFmtId="164" fontId="29" fillId="2" borderId="34" xfId="8" applyNumberFormat="1" applyFont="1" applyFill="1" applyBorder="1" applyAlignment="1">
      <alignment horizontal="center" vertical="center"/>
    </xf>
    <xf numFmtId="164" fontId="20" fillId="2" borderId="33" xfId="8" applyNumberFormat="1" applyFont="1" applyFill="1" applyBorder="1" applyAlignment="1">
      <alignment horizontal="left" vertical="center"/>
    </xf>
    <xf numFmtId="0" fontId="14" fillId="2" borderId="35" xfId="7" applyFont="1" applyFill="1" applyBorder="1"/>
    <xf numFmtId="1" fontId="41" fillId="2" borderId="36" xfId="8" applyNumberFormat="1" applyFont="1" applyFill="1" applyBorder="1" applyAlignment="1">
      <alignment horizontal="center" vertical="center"/>
    </xf>
    <xf numFmtId="2" fontId="29" fillId="5" borderId="36" xfId="8" applyNumberFormat="1" applyFont="1" applyFill="1" applyBorder="1" applyAlignment="1">
      <alignment horizontal="center" vertical="center"/>
    </xf>
    <xf numFmtId="164" fontId="29" fillId="5" borderId="36" xfId="8" applyNumberFormat="1" applyFont="1" applyFill="1" applyBorder="1" applyAlignment="1">
      <alignment horizontal="center" vertical="center"/>
    </xf>
    <xf numFmtId="0" fontId="31" fillId="2" borderId="0" xfId="8" applyFont="1" applyFill="1" applyAlignment="1">
      <alignment horizontal="center" vertical="center"/>
    </xf>
    <xf numFmtId="2" fontId="14" fillId="2" borderId="0" xfId="0" applyNumberFormat="1" applyFont="1" applyFill="1" applyAlignment="1">
      <alignment vertical="center"/>
    </xf>
    <xf numFmtId="164" fontId="14" fillId="2" borderId="0" xfId="0" applyNumberFormat="1" applyFont="1" applyFill="1" applyAlignment="1">
      <alignment vertical="center"/>
    </xf>
    <xf numFmtId="9" fontId="28" fillId="3" borderId="18" xfId="3" applyFont="1" applyFill="1" applyBorder="1" applyAlignment="1" applyProtection="1">
      <alignment horizontal="center" vertical="center"/>
      <protection locked="0"/>
    </xf>
    <xf numFmtId="164" fontId="20" fillId="2" borderId="17" xfId="8" applyNumberFormat="1" applyFont="1" applyFill="1" applyBorder="1" applyAlignment="1" applyProtection="1">
      <alignment horizontal="left" vertical="center"/>
      <protection locked="0"/>
    </xf>
    <xf numFmtId="164" fontId="29" fillId="2" borderId="32" xfId="8" applyNumberFormat="1" applyFont="1" applyFill="1" applyBorder="1" applyAlignment="1" applyProtection="1">
      <alignment horizontal="left" vertical="center"/>
      <protection locked="0"/>
    </xf>
    <xf numFmtId="0" fontId="14" fillId="2" borderId="10" xfId="0" applyFont="1" applyFill="1" applyBorder="1" applyAlignment="1">
      <alignment vertical="center"/>
    </xf>
    <xf numFmtId="0" fontId="14" fillId="2" borderId="10" xfId="0" applyFont="1" applyFill="1" applyBorder="1"/>
    <xf numFmtId="165" fontId="19" fillId="3" borderId="9" xfId="6" applyNumberFormat="1" applyFont="1" applyFill="1" applyBorder="1" applyAlignment="1">
      <alignment horizontal="center" vertical="center"/>
    </xf>
    <xf numFmtId="0" fontId="19" fillId="2" borderId="0" xfId="0" applyFont="1" applyFill="1"/>
    <xf numFmtId="0" fontId="4" fillId="3" borderId="80" xfId="10" applyFill="1" applyBorder="1" applyProtection="1">
      <protection locked="0"/>
    </xf>
    <xf numFmtId="0" fontId="4" fillId="3" borderId="74" xfId="10" applyFill="1" applyBorder="1" applyProtection="1">
      <protection locked="0"/>
    </xf>
    <xf numFmtId="0" fontId="47" fillId="2" borderId="41" xfId="0" applyFont="1" applyFill="1" applyBorder="1" applyAlignment="1">
      <alignment horizontal="left" vertical="center"/>
    </xf>
    <xf numFmtId="0" fontId="15" fillId="2" borderId="0" xfId="7" applyFont="1" applyFill="1" applyAlignment="1">
      <alignment vertical="center"/>
    </xf>
    <xf numFmtId="0" fontId="14" fillId="2" borderId="38" xfId="0" applyFont="1" applyFill="1" applyBorder="1"/>
    <xf numFmtId="0" fontId="15" fillId="2" borderId="39" xfId="7" applyFont="1" applyFill="1" applyBorder="1" applyAlignment="1">
      <alignment vertical="center"/>
    </xf>
    <xf numFmtId="0" fontId="14" fillId="2" borderId="40" xfId="7" applyFont="1" applyFill="1" applyBorder="1" applyAlignment="1">
      <alignment horizontal="center" vertical="center"/>
    </xf>
    <xf numFmtId="0" fontId="14" fillId="2" borderId="41" xfId="0" applyFont="1" applyFill="1" applyBorder="1"/>
    <xf numFmtId="0" fontId="14" fillId="2" borderId="0" xfId="8" applyFont="1" applyFill="1" applyAlignment="1">
      <alignment vertical="center"/>
    </xf>
    <xf numFmtId="0" fontId="14" fillId="2" borderId="0" xfId="8" applyFont="1" applyFill="1" applyAlignment="1">
      <alignment horizontal="left" vertical="center"/>
    </xf>
    <xf numFmtId="0" fontId="15" fillId="2" borderId="0" xfId="8" applyFont="1" applyFill="1" applyAlignment="1">
      <alignment horizontal="right" vertical="top"/>
    </xf>
    <xf numFmtId="0" fontId="15" fillId="2" borderId="0" xfId="8" applyFont="1" applyFill="1" applyAlignment="1">
      <alignment horizontal="center" vertical="top"/>
    </xf>
    <xf numFmtId="0" fontId="15" fillId="2" borderId="0" xfId="1" applyFont="1" applyFill="1" applyAlignment="1">
      <alignment horizontal="center" vertical="top"/>
    </xf>
    <xf numFmtId="0" fontId="15" fillId="2" borderId="42" xfId="1" applyFont="1" applyFill="1" applyBorder="1" applyAlignment="1">
      <alignment horizontal="center" vertical="top"/>
    </xf>
    <xf numFmtId="0" fontId="15" fillId="7" borderId="0" xfId="8" applyFont="1" applyFill="1" applyAlignment="1">
      <alignment horizontal="right" vertical="center"/>
    </xf>
    <xf numFmtId="0" fontId="20" fillId="2" borderId="0" xfId="0" applyFont="1" applyFill="1" applyAlignment="1">
      <alignment horizontal="center" vertical="center"/>
    </xf>
    <xf numFmtId="164" fontId="42" fillId="2" borderId="0" xfId="8" applyNumberFormat="1" applyFont="1" applyFill="1" applyAlignment="1">
      <alignment horizontal="center" vertical="center"/>
    </xf>
    <xf numFmtId="0" fontId="30" fillId="2" borderId="0" xfId="0" applyFont="1" applyFill="1" applyAlignment="1">
      <alignment vertical="center"/>
    </xf>
    <xf numFmtId="1" fontId="30" fillId="2" borderId="85" xfId="8" applyNumberFormat="1" applyFont="1" applyFill="1" applyBorder="1" applyAlignment="1">
      <alignment horizontal="center" vertical="center"/>
    </xf>
    <xf numFmtId="0" fontId="15" fillId="9" borderId="0" xfId="8" applyFont="1" applyFill="1" applyAlignment="1">
      <alignment horizontal="right" vertical="center"/>
    </xf>
    <xf numFmtId="0" fontId="15" fillId="6" borderId="0" xfId="8" applyFont="1" applyFill="1" applyAlignment="1">
      <alignment horizontal="right" vertical="center"/>
    </xf>
    <xf numFmtId="0" fontId="15" fillId="8" borderId="0" xfId="8" applyFont="1" applyFill="1" applyAlignment="1">
      <alignment horizontal="right" vertical="center"/>
    </xf>
    <xf numFmtId="0" fontId="15" fillId="10" borderId="0" xfId="8" applyFont="1" applyFill="1" applyAlignment="1">
      <alignment horizontal="right" vertical="center"/>
    </xf>
    <xf numFmtId="0" fontId="15" fillId="11" borderId="0" xfId="8" applyFont="1" applyFill="1" applyAlignment="1">
      <alignment horizontal="right" vertical="center"/>
    </xf>
    <xf numFmtId="0" fontId="15" fillId="2" borderId="0" xfId="8" applyFont="1" applyFill="1" applyAlignment="1">
      <alignment horizontal="right" vertical="center"/>
    </xf>
    <xf numFmtId="164" fontId="42" fillId="2" borderId="86" xfId="8" applyNumberFormat="1" applyFont="1" applyFill="1" applyBorder="1" applyAlignment="1">
      <alignment horizontal="center" vertical="center"/>
    </xf>
    <xf numFmtId="0" fontId="15" fillId="2" borderId="0" xfId="8" applyFont="1" applyFill="1" applyAlignment="1">
      <alignment vertical="center"/>
    </xf>
    <xf numFmtId="164" fontId="15" fillId="2" borderId="0" xfId="8" applyNumberFormat="1" applyFont="1" applyFill="1" applyAlignment="1">
      <alignment horizontal="center" vertical="center"/>
    </xf>
    <xf numFmtId="0" fontId="30" fillId="2" borderId="0" xfId="8" applyFont="1" applyFill="1" applyAlignment="1">
      <alignment horizontal="center" vertical="center"/>
    </xf>
    <xf numFmtId="1" fontId="31" fillId="2" borderId="42" xfId="8" applyNumberFormat="1" applyFont="1" applyFill="1" applyBorder="1" applyAlignment="1">
      <alignment horizontal="center" vertical="center"/>
    </xf>
    <xf numFmtId="0" fontId="22" fillId="2" borderId="43" xfId="8" applyFont="1" applyFill="1" applyBorder="1" applyAlignment="1">
      <alignment vertical="center"/>
    </xf>
    <xf numFmtId="0" fontId="14" fillId="2" borderId="16" xfId="0" applyFont="1" applyFill="1" applyBorder="1"/>
    <xf numFmtId="0" fontId="14" fillId="2" borderId="16" xfId="8" applyFont="1" applyFill="1" applyBorder="1" applyAlignment="1">
      <alignment vertical="center"/>
    </xf>
    <xf numFmtId="0" fontId="14" fillId="2" borderId="16" xfId="0" applyFont="1" applyFill="1" applyBorder="1" applyAlignment="1">
      <alignment vertical="center"/>
    </xf>
    <xf numFmtId="1" fontId="27" fillId="2" borderId="53" xfId="8" applyNumberFormat="1" applyFont="1" applyFill="1" applyBorder="1" applyAlignment="1">
      <alignment horizontal="center" vertical="center"/>
    </xf>
    <xf numFmtId="1" fontId="27" fillId="2" borderId="54" xfId="8" applyNumberFormat="1" applyFont="1" applyFill="1" applyBorder="1" applyAlignment="1">
      <alignment horizontal="center" vertical="center"/>
    </xf>
    <xf numFmtId="0" fontId="15" fillId="2" borderId="38" xfId="8" applyFont="1" applyFill="1" applyBorder="1" applyAlignment="1">
      <alignment vertical="center"/>
    </xf>
    <xf numFmtId="0" fontId="22" fillId="2" borderId="41" xfId="8" applyFont="1" applyFill="1" applyBorder="1" applyAlignment="1">
      <alignment vertical="center"/>
    </xf>
    <xf numFmtId="0" fontId="23" fillId="2" borderId="0" xfId="8" applyFont="1" applyFill="1" applyAlignment="1">
      <alignment vertical="center"/>
    </xf>
    <xf numFmtId="0" fontId="19" fillId="2" borderId="0" xfId="8" applyFont="1" applyFill="1" applyAlignment="1">
      <alignment vertical="center"/>
    </xf>
    <xf numFmtId="1" fontId="30" fillId="2" borderId="0" xfId="8" applyNumberFormat="1" applyFont="1" applyFill="1" applyAlignment="1">
      <alignment horizontal="center" vertical="center"/>
    </xf>
    <xf numFmtId="0" fontId="15" fillId="2" borderId="41" xfId="8" applyFont="1" applyFill="1" applyBorder="1" applyAlignment="1">
      <alignment vertical="center"/>
    </xf>
    <xf numFmtId="1" fontId="14" fillId="2" borderId="0" xfId="8" applyNumberFormat="1" applyFont="1" applyFill="1" applyAlignment="1">
      <alignment horizontal="center" vertical="center"/>
    </xf>
    <xf numFmtId="0" fontId="20" fillId="2" borderId="0" xfId="8" applyFont="1" applyFill="1" applyAlignment="1">
      <alignment horizontal="left" vertical="center"/>
    </xf>
    <xf numFmtId="164" fontId="14" fillId="2" borderId="0" xfId="0" applyNumberFormat="1" applyFont="1" applyFill="1"/>
    <xf numFmtId="0" fontId="14" fillId="2" borderId="0" xfId="8" applyFont="1" applyFill="1" applyAlignment="1">
      <alignment horizontal="right" vertical="center"/>
    </xf>
    <xf numFmtId="164" fontId="30" fillId="2" borderId="42" xfId="0" applyNumberFormat="1" applyFont="1" applyFill="1" applyBorder="1" applyAlignment="1">
      <alignment horizontal="center" vertical="center"/>
    </xf>
    <xf numFmtId="0" fontId="23" fillId="2" borderId="0" xfId="8" applyFont="1" applyFill="1" applyAlignment="1">
      <alignment horizontal="center" vertical="center"/>
    </xf>
    <xf numFmtId="0" fontId="14" fillId="2" borderId="43" xfId="0" applyFont="1" applyFill="1" applyBorder="1"/>
    <xf numFmtId="0" fontId="14" fillId="2" borderId="16" xfId="0" applyFont="1" applyFill="1" applyBorder="1" applyAlignment="1">
      <alignment horizontal="center" vertical="top"/>
    </xf>
    <xf numFmtId="0" fontId="14" fillId="2" borderId="44" xfId="0" applyFont="1" applyFill="1" applyBorder="1"/>
    <xf numFmtId="0" fontId="47" fillId="2" borderId="0" xfId="0" applyFont="1" applyFill="1" applyAlignment="1">
      <alignment horizontal="left" vertical="center"/>
    </xf>
    <xf numFmtId="0" fontId="37" fillId="13" borderId="28" xfId="9" applyFont="1" applyFill="1" applyBorder="1" applyAlignment="1" applyProtection="1">
      <alignment horizontal="center" vertical="center"/>
      <protection locked="0"/>
    </xf>
    <xf numFmtId="0" fontId="37" fillId="13" borderId="29" xfId="9" applyFont="1" applyFill="1" applyBorder="1" applyAlignment="1" applyProtection="1">
      <alignment horizontal="center" vertical="center"/>
      <protection locked="0"/>
    </xf>
    <xf numFmtId="0" fontId="37" fillId="13" borderId="29" xfId="9" applyFont="1" applyFill="1" applyBorder="1" applyAlignment="1" applyProtection="1">
      <alignment horizontal="center" vertical="center" wrapText="1"/>
      <protection locked="0"/>
    </xf>
    <xf numFmtId="0" fontId="37" fillId="13" borderId="30" xfId="9" applyFont="1" applyFill="1" applyBorder="1" applyAlignment="1" applyProtection="1">
      <alignment horizontal="center" vertical="center" wrapText="1"/>
      <protection locked="0"/>
    </xf>
    <xf numFmtId="0" fontId="43" fillId="2" borderId="0" xfId="0" applyFont="1" applyFill="1" applyAlignment="1" applyProtection="1">
      <alignment horizontal="left" vertical="center"/>
      <protection hidden="1"/>
    </xf>
    <xf numFmtId="0" fontId="24" fillId="2" borderId="0" xfId="0" applyFont="1" applyFill="1" applyAlignment="1" applyProtection="1">
      <alignment horizontal="left" vertical="center"/>
      <protection hidden="1"/>
    </xf>
    <xf numFmtId="0" fontId="25" fillId="2" borderId="0" xfId="0" applyFont="1" applyFill="1" applyAlignment="1" applyProtection="1">
      <alignment vertical="center"/>
      <protection hidden="1"/>
    </xf>
    <xf numFmtId="0" fontId="46" fillId="2" borderId="0" xfId="0" applyFont="1" applyFill="1" applyAlignment="1" applyProtection="1">
      <alignment vertical="center"/>
      <protection hidden="1"/>
    </xf>
    <xf numFmtId="0" fontId="25" fillId="2" borderId="0" xfId="0" applyFont="1" applyFill="1" applyProtection="1">
      <protection hidden="1"/>
    </xf>
    <xf numFmtId="0" fontId="14" fillId="2" borderId="0" xfId="0" applyFont="1" applyFill="1" applyAlignment="1" applyProtection="1">
      <alignment horizontal="centerContinuous" vertical="top"/>
      <protection hidden="1"/>
    </xf>
    <xf numFmtId="2" fontId="27" fillId="2" borderId="0" xfId="8" applyNumberFormat="1" applyFont="1" applyFill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vertical="top"/>
      <protection hidden="1"/>
    </xf>
    <xf numFmtId="0" fontId="15" fillId="2" borderId="0" xfId="7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centerContinuous"/>
      <protection hidden="1"/>
    </xf>
    <xf numFmtId="2" fontId="27" fillId="2" borderId="0" xfId="8" applyNumberFormat="1" applyFont="1" applyFill="1" applyAlignment="1" applyProtection="1">
      <alignment horizontal="center"/>
      <protection hidden="1"/>
    </xf>
    <xf numFmtId="0" fontId="14" fillId="2" borderId="0" xfId="0" applyFont="1" applyFill="1" applyProtection="1"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14" fillId="2" borderId="0" xfId="7" applyFont="1" applyFill="1" applyAlignment="1" applyProtection="1">
      <alignment horizontal="center" vertical="center"/>
      <protection hidden="1"/>
    </xf>
    <xf numFmtId="0" fontId="14" fillId="2" borderId="0" xfId="8" applyFont="1" applyFill="1" applyAlignment="1" applyProtection="1">
      <alignment horizontal="center" vertical="center"/>
      <protection hidden="1"/>
    </xf>
    <xf numFmtId="0" fontId="15" fillId="2" borderId="0" xfId="1" applyFont="1" applyFill="1" applyAlignment="1" applyProtection="1">
      <alignment horizontal="center" vertical="center"/>
      <protection hidden="1"/>
    </xf>
    <xf numFmtId="164" fontId="27" fillId="2" borderId="0" xfId="8" applyNumberFormat="1" applyFont="1" applyFill="1" applyAlignment="1" applyProtection="1">
      <alignment horizontal="center" vertical="center"/>
      <protection hidden="1"/>
    </xf>
    <xf numFmtId="2" fontId="14" fillId="3" borderId="0" xfId="0" applyNumberFormat="1" applyFont="1" applyFill="1" applyAlignment="1" applyProtection="1">
      <alignment horizontal="center" vertical="center"/>
      <protection hidden="1"/>
    </xf>
    <xf numFmtId="164" fontId="14" fillId="3" borderId="0" xfId="0" applyNumberFormat="1" applyFont="1" applyFill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31" fillId="2" borderId="0" xfId="8" applyFont="1" applyFill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right" vertical="center"/>
      <protection hidden="1"/>
    </xf>
    <xf numFmtId="2" fontId="14" fillId="2" borderId="0" xfId="0" applyNumberFormat="1" applyFont="1" applyFill="1" applyAlignment="1" applyProtection="1">
      <alignment vertical="center"/>
      <protection hidden="1"/>
    </xf>
    <xf numFmtId="0" fontId="14" fillId="3" borderId="0" xfId="0" applyFont="1" applyFill="1" applyAlignment="1" applyProtection="1">
      <alignment vertical="center"/>
      <protection hidden="1"/>
    </xf>
    <xf numFmtId="164" fontId="14" fillId="2" borderId="0" xfId="0" applyNumberFormat="1" applyFont="1" applyFill="1" applyAlignment="1" applyProtection="1">
      <alignment vertical="center"/>
      <protection hidden="1"/>
    </xf>
    <xf numFmtId="2" fontId="57" fillId="2" borderId="0" xfId="8" applyNumberFormat="1" applyFont="1" applyFill="1" applyAlignment="1" applyProtection="1">
      <alignment horizontal="center" vertical="center"/>
      <protection hidden="1"/>
    </xf>
    <xf numFmtId="0" fontId="59" fillId="2" borderId="0" xfId="0" applyFont="1" applyFill="1" applyAlignment="1" applyProtection="1">
      <alignment vertical="center"/>
      <protection hidden="1"/>
    </xf>
    <xf numFmtId="0" fontId="49" fillId="2" borderId="0" xfId="10" applyFont="1" applyFill="1" applyAlignment="1">
      <alignment horizontal="left"/>
    </xf>
    <xf numFmtId="0" fontId="4" fillId="2" borderId="0" xfId="10" applyFill="1"/>
    <xf numFmtId="0" fontId="4" fillId="2" borderId="0" xfId="10" applyFill="1" applyAlignment="1">
      <alignment horizontal="left"/>
    </xf>
    <xf numFmtId="0" fontId="49" fillId="2" borderId="38" xfId="10" applyFont="1" applyFill="1" applyBorder="1" applyAlignment="1">
      <alignment horizontal="left"/>
    </xf>
    <xf numFmtId="0" fontId="49" fillId="2" borderId="39" xfId="10" applyFont="1" applyFill="1" applyBorder="1"/>
    <xf numFmtId="164" fontId="49" fillId="2" borderId="39" xfId="10" applyNumberFormat="1" applyFont="1" applyFill="1" applyBorder="1"/>
    <xf numFmtId="0" fontId="49" fillId="2" borderId="40" xfId="10" applyFont="1" applyFill="1" applyBorder="1"/>
    <xf numFmtId="0" fontId="49" fillId="2" borderId="41" xfId="10" applyFont="1" applyFill="1" applyBorder="1" applyAlignment="1">
      <alignment horizontal="left"/>
    </xf>
    <xf numFmtId="0" fontId="49" fillId="2" borderId="0" xfId="10" applyFont="1" applyFill="1"/>
    <xf numFmtId="164" fontId="49" fillId="2" borderId="0" xfId="10" applyNumberFormat="1" applyFont="1" applyFill="1"/>
    <xf numFmtId="0" fontId="49" fillId="2" borderId="42" xfId="10" applyFont="1" applyFill="1" applyBorder="1"/>
    <xf numFmtId="0" fontId="4" fillId="2" borderId="0" xfId="10" applyFill="1" applyAlignment="1">
      <alignment horizontal="center"/>
    </xf>
    <xf numFmtId="0" fontId="49" fillId="2" borderId="45" xfId="10" applyFont="1" applyFill="1" applyBorder="1" applyAlignment="1">
      <alignment horizontal="center"/>
    </xf>
    <xf numFmtId="0" fontId="4" fillId="2" borderId="49" xfId="10" applyFill="1" applyBorder="1" applyAlignment="1">
      <alignment horizontal="center"/>
    </xf>
    <xf numFmtId="0" fontId="4" fillId="2" borderId="51" xfId="10" applyFill="1" applyBorder="1" applyAlignment="1">
      <alignment horizontal="center"/>
    </xf>
    <xf numFmtId="0" fontId="4" fillId="2" borderId="52" xfId="10" applyFill="1" applyBorder="1" applyAlignment="1">
      <alignment horizontal="center"/>
    </xf>
    <xf numFmtId="0" fontId="4" fillId="2" borderId="53" xfId="10" applyFill="1" applyBorder="1" applyAlignment="1">
      <alignment horizontal="center"/>
    </xf>
    <xf numFmtId="0" fontId="4" fillId="2" borderId="54" xfId="10" applyFill="1" applyBorder="1" applyAlignment="1">
      <alignment horizontal="center"/>
    </xf>
    <xf numFmtId="0" fontId="4" fillId="2" borderId="55" xfId="10" applyFill="1" applyBorder="1" applyAlignment="1">
      <alignment horizontal="center"/>
    </xf>
    <xf numFmtId="0" fontId="4" fillId="2" borderId="45" xfId="10" applyFill="1" applyBorder="1" applyAlignment="1">
      <alignment horizontal="center"/>
    </xf>
    <xf numFmtId="0" fontId="4" fillId="2" borderId="53" xfId="10" applyFill="1" applyBorder="1"/>
    <xf numFmtId="0" fontId="4" fillId="2" borderId="54" xfId="10" applyFill="1" applyBorder="1"/>
    <xf numFmtId="0" fontId="4" fillId="2" borderId="52" xfId="10" applyFill="1" applyBorder="1" applyAlignment="1">
      <alignment horizontal="left"/>
    </xf>
    <xf numFmtId="0" fontId="4" fillId="2" borderId="63" xfId="10" applyFill="1" applyBorder="1" applyAlignment="1">
      <alignment horizontal="center"/>
    </xf>
    <xf numFmtId="0" fontId="4" fillId="2" borderId="31" xfId="10" applyFill="1" applyBorder="1" applyAlignment="1">
      <alignment horizontal="center"/>
    </xf>
    <xf numFmtId="0" fontId="4" fillId="2" borderId="66" xfId="10" applyFill="1" applyBorder="1"/>
    <xf numFmtId="0" fontId="4" fillId="2" borderId="67" xfId="10" applyFill="1" applyBorder="1"/>
    <xf numFmtId="0" fontId="4" fillId="2" borderId="68" xfId="10" applyFill="1" applyBorder="1"/>
    <xf numFmtId="0" fontId="49" fillId="2" borderId="69" xfId="10" applyFont="1" applyFill="1" applyBorder="1" applyAlignment="1">
      <alignment horizontal="center"/>
    </xf>
    <xf numFmtId="0" fontId="3" fillId="2" borderId="63" xfId="10" applyFont="1" applyFill="1" applyBorder="1" applyAlignment="1">
      <alignment horizontal="center"/>
    </xf>
    <xf numFmtId="0" fontId="3" fillId="2" borderId="71" xfId="10" applyFont="1" applyFill="1" applyBorder="1" applyAlignment="1">
      <alignment horizontal="center"/>
    </xf>
    <xf numFmtId="0" fontId="4" fillId="2" borderId="57" xfId="10" applyFill="1" applyBorder="1"/>
    <xf numFmtId="0" fontId="4" fillId="2" borderId="79" xfId="10" applyFill="1" applyBorder="1"/>
    <xf numFmtId="0" fontId="4" fillId="3" borderId="52" xfId="10" applyFill="1" applyBorder="1" applyAlignment="1" applyProtection="1">
      <alignment horizontal="center" vertical="center"/>
      <protection locked="0"/>
    </xf>
    <xf numFmtId="0" fontId="4" fillId="3" borderId="54" xfId="10" applyFill="1" applyBorder="1" applyAlignment="1" applyProtection="1">
      <alignment horizontal="center" vertical="center"/>
      <protection locked="0"/>
    </xf>
    <xf numFmtId="0" fontId="62" fillId="2" borderId="41" xfId="8" applyFont="1" applyFill="1" applyBorder="1" applyAlignment="1">
      <alignment vertical="center"/>
    </xf>
    <xf numFmtId="0" fontId="63" fillId="2" borderId="0" xfId="8" applyFont="1" applyFill="1" applyAlignment="1">
      <alignment vertical="center"/>
    </xf>
    <xf numFmtId="0" fontId="65" fillId="3" borderId="0" xfId="10" applyFont="1" applyFill="1"/>
    <xf numFmtId="0" fontId="2" fillId="0" borderId="0" xfId="10" applyFont="1" applyAlignment="1">
      <alignment horizontal="center"/>
    </xf>
    <xf numFmtId="0" fontId="2" fillId="2" borderId="51" xfId="10" applyFont="1" applyFill="1" applyBorder="1" applyAlignment="1">
      <alignment horizontal="center"/>
    </xf>
    <xf numFmtId="0" fontId="4" fillId="0" borderId="56" xfId="10" applyBorder="1"/>
    <xf numFmtId="0" fontId="4" fillId="0" borderId="10" xfId="10" applyBorder="1"/>
    <xf numFmtId="0" fontId="4" fillId="0" borderId="53" xfId="10" applyBorder="1"/>
    <xf numFmtId="0" fontId="4" fillId="2" borderId="55" xfId="10" applyFill="1" applyBorder="1" applyAlignment="1" applyProtection="1">
      <alignment horizontal="center"/>
      <protection locked="0"/>
    </xf>
    <xf numFmtId="0" fontId="4" fillId="2" borderId="49" xfId="10" applyFill="1" applyBorder="1" applyAlignment="1" applyProtection="1">
      <alignment horizontal="center"/>
      <protection locked="0"/>
    </xf>
    <xf numFmtId="0" fontId="4" fillId="2" borderId="51" xfId="10" applyFill="1" applyBorder="1" applyAlignment="1" applyProtection="1">
      <alignment horizontal="center"/>
      <protection locked="0"/>
    </xf>
    <xf numFmtId="1" fontId="66" fillId="2" borderId="0" xfId="8" applyNumberFormat="1" applyFont="1" applyFill="1" applyAlignment="1" applyProtection="1">
      <alignment horizontal="left" vertical="center"/>
      <protection hidden="1"/>
    </xf>
    <xf numFmtId="0" fontId="47" fillId="2" borderId="41" xfId="0" applyFont="1" applyFill="1" applyBorder="1" applyAlignment="1">
      <alignment horizontal="left" vertical="center"/>
    </xf>
    <xf numFmtId="0" fontId="47" fillId="2" borderId="0" xfId="0" applyFont="1" applyFill="1" applyAlignment="1">
      <alignment horizontal="left" vertical="center"/>
    </xf>
    <xf numFmtId="14" fontId="8" fillId="3" borderId="11" xfId="0" applyNumberFormat="1" applyFont="1" applyFill="1" applyBorder="1" applyAlignment="1" applyProtection="1">
      <alignment horizontal="left" vertical="center"/>
      <protection locked="0" hidden="1"/>
    </xf>
    <xf numFmtId="14" fontId="8" fillId="3" borderId="37" xfId="0" applyNumberFormat="1" applyFont="1" applyFill="1" applyBorder="1" applyAlignment="1" applyProtection="1">
      <alignment horizontal="left" vertical="center"/>
      <protection locked="0" hidden="1"/>
    </xf>
    <xf numFmtId="14" fontId="8" fillId="3" borderId="60" xfId="0" applyNumberFormat="1" applyFont="1" applyFill="1" applyBorder="1" applyAlignment="1" applyProtection="1">
      <alignment horizontal="left" vertical="center"/>
      <protection locked="0" hidden="1"/>
    </xf>
    <xf numFmtId="0" fontId="26" fillId="2" borderId="0" xfId="7" applyFont="1" applyFill="1" applyAlignment="1">
      <alignment horizontal="left"/>
    </xf>
    <xf numFmtId="0" fontId="48" fillId="2" borderId="38" xfId="0" applyFont="1" applyFill="1" applyBorder="1" applyAlignment="1" applyProtection="1">
      <alignment horizontal="left" vertical="top" wrapText="1"/>
      <protection locked="0"/>
    </xf>
    <xf numFmtId="0" fontId="48" fillId="2" borderId="39" xfId="0" applyFont="1" applyFill="1" applyBorder="1" applyAlignment="1" applyProtection="1">
      <alignment horizontal="left" vertical="top" wrapText="1"/>
      <protection locked="0"/>
    </xf>
    <xf numFmtId="0" fontId="48" fillId="2" borderId="40" xfId="0" applyFont="1" applyFill="1" applyBorder="1" applyAlignment="1" applyProtection="1">
      <alignment horizontal="left" vertical="top" wrapText="1"/>
      <protection locked="0"/>
    </xf>
    <xf numFmtId="0" fontId="48" fillId="2" borderId="43" xfId="0" applyFont="1" applyFill="1" applyBorder="1" applyAlignment="1" applyProtection="1">
      <alignment horizontal="left" vertical="top" wrapText="1"/>
      <protection locked="0"/>
    </xf>
    <xf numFmtId="0" fontId="48" fillId="2" borderId="16" xfId="0" applyFont="1" applyFill="1" applyBorder="1" applyAlignment="1" applyProtection="1">
      <alignment horizontal="left" vertical="top" wrapText="1"/>
      <protection locked="0"/>
    </xf>
    <xf numFmtId="0" fontId="48" fillId="2" borderId="44" xfId="0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37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23" fillId="0" borderId="0" xfId="8" applyFont="1" applyAlignment="1">
      <alignment horizontal="left" vertical="center"/>
    </xf>
    <xf numFmtId="0" fontId="23" fillId="0" borderId="42" xfId="8" applyFont="1" applyBorder="1" applyAlignment="1">
      <alignment horizontal="left" vertical="center"/>
    </xf>
    <xf numFmtId="0" fontId="19" fillId="2" borderId="81" xfId="7" applyFont="1" applyFill="1" applyBorder="1" applyAlignment="1">
      <alignment horizontal="left" vertical="center"/>
    </xf>
    <xf numFmtId="0" fontId="19" fillId="2" borderId="82" xfId="7" applyFont="1" applyFill="1" applyBorder="1" applyAlignment="1">
      <alignment horizontal="left" vertical="center"/>
    </xf>
    <xf numFmtId="0" fontId="19" fillId="2" borderId="66" xfId="7" applyFont="1" applyFill="1" applyBorder="1" applyAlignment="1">
      <alignment horizontal="left" vertical="center"/>
    </xf>
    <xf numFmtId="14" fontId="8" fillId="3" borderId="66" xfId="0" applyNumberFormat="1" applyFont="1" applyFill="1" applyBorder="1" applyAlignment="1" applyProtection="1">
      <alignment horizontal="left" vertical="center"/>
      <protection locked="0"/>
    </xf>
    <xf numFmtId="14" fontId="8" fillId="3" borderId="67" xfId="0" applyNumberFormat="1" applyFont="1" applyFill="1" applyBorder="1" applyAlignment="1" applyProtection="1">
      <alignment horizontal="left" vertical="center"/>
      <protection locked="0"/>
    </xf>
    <xf numFmtId="14" fontId="8" fillId="3" borderId="68" xfId="0" applyNumberFormat="1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Alignment="1">
      <alignment horizontal="left" vertical="center"/>
    </xf>
    <xf numFmtId="0" fontId="23" fillId="2" borderId="42" xfId="0" applyFont="1" applyFill="1" applyBorder="1" applyAlignment="1">
      <alignment horizontal="left" vertical="center"/>
    </xf>
    <xf numFmtId="0" fontId="22" fillId="2" borderId="10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64" xfId="0" applyFont="1" applyFill="1" applyBorder="1" applyAlignment="1">
      <alignment horizontal="center" vertical="center" wrapText="1"/>
    </xf>
    <xf numFmtId="0" fontId="14" fillId="2" borderId="73" xfId="0" applyFont="1" applyFill="1" applyBorder="1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 wrapText="1"/>
    </xf>
    <xf numFmtId="14" fontId="8" fillId="3" borderId="74" xfId="0" applyNumberFormat="1" applyFont="1" applyFill="1" applyBorder="1" applyAlignment="1" applyProtection="1">
      <alignment horizontal="left" vertical="center"/>
      <protection locked="0"/>
    </xf>
    <xf numFmtId="14" fontId="8" fillId="3" borderId="79" xfId="0" applyNumberFormat="1" applyFont="1" applyFill="1" applyBorder="1" applyAlignment="1" applyProtection="1">
      <alignment horizontal="left" vertical="center"/>
      <protection locked="0"/>
    </xf>
    <xf numFmtId="0" fontId="47" fillId="2" borderId="43" xfId="0" applyFont="1" applyFill="1" applyBorder="1" applyAlignment="1">
      <alignment horizontal="left" vertical="center"/>
    </xf>
    <xf numFmtId="0" fontId="47" fillId="2" borderId="16" xfId="0" applyFont="1" applyFill="1" applyBorder="1" applyAlignment="1">
      <alignment horizontal="left" vertical="center"/>
    </xf>
    <xf numFmtId="0" fontId="47" fillId="2" borderId="80" xfId="0" applyFont="1" applyFill="1" applyBorder="1" applyAlignment="1">
      <alignment horizontal="left" vertical="center"/>
    </xf>
    <xf numFmtId="0" fontId="14" fillId="2" borderId="0" xfId="8" applyFont="1" applyFill="1" applyAlignment="1">
      <alignment horizontal="center" vertical="center" wrapText="1"/>
    </xf>
    <xf numFmtId="0" fontId="14" fillId="2" borderId="0" xfId="8" applyFont="1" applyFill="1" applyAlignment="1">
      <alignment horizontal="center" vertical="center"/>
    </xf>
    <xf numFmtId="0" fontId="14" fillId="2" borderId="11" xfId="0" applyFont="1" applyFill="1" applyBorder="1" applyAlignment="1">
      <alignment horizontal="left" vertical="center" wrapText="1"/>
    </xf>
    <xf numFmtId="0" fontId="14" fillId="2" borderId="37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top"/>
    </xf>
    <xf numFmtId="0" fontId="23" fillId="2" borderId="11" xfId="8" applyFont="1" applyFill="1" applyBorder="1" applyAlignment="1">
      <alignment horizontal="center" vertical="center"/>
    </xf>
    <xf numFmtId="0" fontId="23" fillId="2" borderId="37" xfId="8" applyFont="1" applyFill="1" applyBorder="1" applyAlignment="1">
      <alignment horizontal="center" vertical="center"/>
    </xf>
    <xf numFmtId="0" fontId="23" fillId="2" borderId="12" xfId="8" applyFont="1" applyFill="1" applyBorder="1" applyAlignment="1">
      <alignment horizontal="center" vertical="center"/>
    </xf>
    <xf numFmtId="0" fontId="47" fillId="2" borderId="38" xfId="0" applyFont="1" applyFill="1" applyBorder="1" applyAlignment="1">
      <alignment horizontal="left" vertical="center"/>
    </xf>
    <xf numFmtId="0" fontId="47" fillId="2" borderId="39" xfId="0" applyFont="1" applyFill="1" applyBorder="1" applyAlignment="1">
      <alignment horizontal="left" vertical="center"/>
    </xf>
    <xf numFmtId="0" fontId="47" fillId="2" borderId="84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horizontal="left" vertical="center"/>
    </xf>
    <xf numFmtId="3" fontId="10" fillId="3" borderId="64" xfId="4" applyNumberFormat="1" applyFont="1" applyFill="1" applyBorder="1" applyAlignment="1" applyProtection="1">
      <alignment horizontal="left" vertical="center"/>
      <protection locked="0"/>
    </xf>
    <xf numFmtId="3" fontId="10" fillId="3" borderId="65" xfId="4" applyNumberFormat="1" applyFont="1" applyFill="1" applyBorder="1" applyAlignment="1" applyProtection="1">
      <alignment horizontal="left" vertical="center"/>
      <protection locked="0"/>
    </xf>
    <xf numFmtId="0" fontId="8" fillId="3" borderId="12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3" borderId="50" xfId="0" applyFont="1" applyFill="1" applyBorder="1" applyAlignment="1" applyProtection="1">
      <alignment horizontal="left" vertical="center"/>
      <protection locked="0"/>
    </xf>
    <xf numFmtId="3" fontId="10" fillId="3" borderId="47" xfId="4" applyNumberFormat="1" applyFont="1" applyFill="1" applyBorder="1" applyAlignment="1" applyProtection="1">
      <alignment horizontal="left" vertical="center"/>
      <protection locked="0"/>
    </xf>
    <xf numFmtId="3" fontId="10" fillId="3" borderId="48" xfId="4" applyNumberFormat="1" applyFont="1" applyFill="1" applyBorder="1" applyAlignment="1" applyProtection="1">
      <alignment horizontal="left" vertical="center"/>
      <protection locked="0"/>
    </xf>
    <xf numFmtId="0" fontId="8" fillId="3" borderId="52" xfId="0" applyFont="1" applyFill="1" applyBorder="1" applyAlignment="1" applyProtection="1">
      <alignment horizontal="left" vertical="center"/>
      <protection locked="0"/>
    </xf>
    <xf numFmtId="0" fontId="8" fillId="3" borderId="53" xfId="0" applyFont="1" applyFill="1" applyBorder="1" applyAlignment="1" applyProtection="1">
      <alignment horizontal="left" vertical="center"/>
      <protection locked="0"/>
    </xf>
    <xf numFmtId="0" fontId="23" fillId="2" borderId="81" xfId="0" applyFont="1" applyFill="1" applyBorder="1" applyAlignment="1">
      <alignment horizontal="left" vertical="center" wrapText="1"/>
    </xf>
    <xf numFmtId="0" fontId="0" fillId="0" borderId="82" xfId="0" applyBorder="1" applyAlignment="1">
      <alignment horizontal="left" vertical="center" wrapText="1"/>
    </xf>
    <xf numFmtId="0" fontId="0" fillId="0" borderId="83" xfId="0" applyBorder="1" applyAlignment="1">
      <alignment horizontal="left" vertical="center" wrapText="1"/>
    </xf>
    <xf numFmtId="0" fontId="15" fillId="2" borderId="39" xfId="7" applyFont="1" applyFill="1" applyBorder="1" applyAlignment="1">
      <alignment horizontal="center" vertical="center"/>
    </xf>
    <xf numFmtId="0" fontId="54" fillId="3" borderId="46" xfId="0" applyFont="1" applyFill="1" applyBorder="1" applyAlignment="1" applyProtection="1">
      <alignment horizontal="left" vertical="center"/>
      <protection locked="0"/>
    </xf>
    <xf numFmtId="0" fontId="54" fillId="3" borderId="47" xfId="0" applyFont="1" applyFill="1" applyBorder="1" applyAlignment="1" applyProtection="1">
      <alignment horizontal="left" vertical="center"/>
      <protection locked="0"/>
    </xf>
    <xf numFmtId="0" fontId="10" fillId="3" borderId="4" xfId="4" applyFont="1" applyFill="1" applyBorder="1" applyAlignment="1" applyProtection="1">
      <alignment horizontal="left" vertical="center"/>
      <protection locked="0"/>
    </xf>
    <xf numFmtId="0" fontId="10" fillId="3" borderId="64" xfId="4" applyFont="1" applyFill="1" applyBorder="1" applyAlignment="1" applyProtection="1">
      <alignment horizontal="left" vertical="center"/>
      <protection locked="0"/>
    </xf>
    <xf numFmtId="0" fontId="51" fillId="3" borderId="17" xfId="0" applyFont="1" applyFill="1" applyBorder="1" applyAlignment="1" applyProtection="1">
      <alignment horizontal="center" vertical="center"/>
      <protection locked="0" hidden="1"/>
    </xf>
    <xf numFmtId="0" fontId="51" fillId="3" borderId="32" xfId="0" applyFont="1" applyFill="1" applyBorder="1" applyAlignment="1" applyProtection="1">
      <alignment horizontal="center" vertical="center"/>
      <protection locked="0" hidden="1"/>
    </xf>
    <xf numFmtId="0" fontId="51" fillId="3" borderId="72" xfId="0" applyFont="1" applyFill="1" applyBorder="1" applyAlignment="1" applyProtection="1">
      <alignment horizontal="center" vertical="center"/>
      <protection locked="0" hidden="1"/>
    </xf>
    <xf numFmtId="0" fontId="8" fillId="3" borderId="46" xfId="0" applyFont="1" applyFill="1" applyBorder="1" applyAlignment="1" applyProtection="1">
      <alignment horizontal="left" vertical="center"/>
      <protection locked="0"/>
    </xf>
    <xf numFmtId="0" fontId="8" fillId="3" borderId="47" xfId="0" applyFont="1" applyFill="1" applyBorder="1" applyAlignment="1" applyProtection="1">
      <alignment horizontal="left" vertical="center"/>
      <protection locked="0"/>
    </xf>
    <xf numFmtId="0" fontId="8" fillId="3" borderId="48" xfId="0" applyFont="1" applyFill="1" applyBorder="1" applyAlignment="1" applyProtection="1">
      <alignment horizontal="left" vertical="center"/>
      <protection locked="0"/>
    </xf>
    <xf numFmtId="49" fontId="8" fillId="3" borderId="53" xfId="0" applyNumberFormat="1" applyFont="1" applyFill="1" applyBorder="1" applyAlignment="1" applyProtection="1">
      <alignment horizontal="left" vertical="center"/>
      <protection locked="0"/>
    </xf>
    <xf numFmtId="49" fontId="8" fillId="3" borderId="54" xfId="0" applyNumberFormat="1" applyFont="1" applyFill="1" applyBorder="1" applyAlignment="1" applyProtection="1">
      <alignment horizontal="left" vertical="center"/>
      <protection locked="0"/>
    </xf>
    <xf numFmtId="0" fontId="14" fillId="2" borderId="42" xfId="0" applyFont="1" applyFill="1" applyBorder="1" applyAlignment="1">
      <alignment horizontal="center" vertical="center"/>
    </xf>
    <xf numFmtId="165" fontId="19" fillId="3" borderId="7" xfId="6" applyNumberFormat="1" applyFont="1" applyFill="1" applyBorder="1" applyAlignment="1" applyProtection="1">
      <alignment horizontal="left" vertical="center"/>
      <protection locked="0"/>
    </xf>
    <xf numFmtId="165" fontId="19" fillId="3" borderId="8" xfId="6" applyNumberFormat="1" applyFont="1" applyFill="1" applyBorder="1" applyAlignment="1" applyProtection="1">
      <alignment horizontal="left" vertical="center"/>
      <protection locked="0"/>
    </xf>
    <xf numFmtId="165" fontId="19" fillId="3" borderId="9" xfId="6" applyNumberFormat="1" applyFont="1" applyFill="1" applyBorder="1" applyAlignment="1" applyProtection="1">
      <alignment horizontal="left" vertical="center"/>
      <protection locked="0"/>
    </xf>
    <xf numFmtId="165" fontId="22" fillId="2" borderId="11" xfId="6" applyNumberFormat="1" applyFont="1" applyFill="1" applyBorder="1" applyAlignment="1">
      <alignment horizontal="center" vertical="center"/>
    </xf>
    <xf numFmtId="165" fontId="22" fillId="2" borderId="12" xfId="6" applyNumberFormat="1" applyFont="1" applyFill="1" applyBorder="1" applyAlignment="1">
      <alignment horizontal="center" vertical="center"/>
    </xf>
    <xf numFmtId="0" fontId="49" fillId="4" borderId="43" xfId="10" applyFont="1" applyFill="1" applyBorder="1" applyAlignment="1">
      <alignment horizontal="center" vertical="center"/>
    </xf>
    <xf numFmtId="0" fontId="49" fillId="4" borderId="16" xfId="10" applyFont="1" applyFill="1" applyBorder="1" applyAlignment="1">
      <alignment horizontal="center" vertical="center"/>
    </xf>
    <xf numFmtId="0" fontId="49" fillId="4" borderId="44" xfId="10" applyFont="1" applyFill="1" applyBorder="1" applyAlignment="1">
      <alignment horizontal="center" vertical="center"/>
    </xf>
    <xf numFmtId="0" fontId="4" fillId="2" borderId="58" xfId="10" applyFill="1" applyBorder="1" applyAlignment="1">
      <alignment horizontal="center"/>
    </xf>
    <xf numFmtId="0" fontId="4" fillId="2" borderId="52" xfId="10" applyFill="1" applyBorder="1" applyAlignment="1">
      <alignment horizontal="center"/>
    </xf>
    <xf numFmtId="0" fontId="4" fillId="3" borderId="61" xfId="10" applyFill="1" applyBorder="1" applyAlignment="1" applyProtection="1">
      <alignment horizontal="center"/>
      <protection locked="0"/>
    </xf>
    <xf numFmtId="0" fontId="4" fillId="3" borderId="62" xfId="10" applyFill="1" applyBorder="1" applyAlignment="1" applyProtection="1">
      <alignment horizontal="center"/>
      <protection locked="0"/>
    </xf>
    <xf numFmtId="0" fontId="4" fillId="2" borderId="37" xfId="10" applyFill="1" applyBorder="1" applyAlignment="1">
      <alignment horizontal="center"/>
    </xf>
    <xf numFmtId="0" fontId="4" fillId="2" borderId="12" xfId="10" applyFill="1" applyBorder="1" applyAlignment="1">
      <alignment horizontal="center"/>
    </xf>
    <xf numFmtId="0" fontId="4" fillId="3" borderId="11" xfId="10" applyFill="1" applyBorder="1" applyAlignment="1" applyProtection="1">
      <alignment horizontal="center"/>
      <protection locked="0"/>
    </xf>
    <xf numFmtId="0" fontId="4" fillId="3" borderId="60" xfId="10" applyFill="1" applyBorder="1" applyAlignment="1" applyProtection="1">
      <alignment horizontal="center"/>
      <protection locked="0"/>
    </xf>
    <xf numFmtId="0" fontId="4" fillId="2" borderId="14" xfId="10" applyFill="1" applyBorder="1" applyAlignment="1">
      <alignment horizontal="center"/>
    </xf>
    <xf numFmtId="0" fontId="4" fillId="2" borderId="15" xfId="10" applyFill="1" applyBorder="1" applyAlignment="1">
      <alignment horizontal="center"/>
    </xf>
    <xf numFmtId="0" fontId="49" fillId="2" borderId="75" xfId="10" applyFont="1" applyFill="1" applyBorder="1" applyAlignment="1">
      <alignment horizontal="center"/>
    </xf>
    <xf numFmtId="0" fontId="49" fillId="2" borderId="76" xfId="10" applyFont="1" applyFill="1" applyBorder="1" applyAlignment="1">
      <alignment horizontal="center"/>
    </xf>
    <xf numFmtId="0" fontId="49" fillId="2" borderId="77" xfId="10" applyFont="1" applyFill="1" applyBorder="1" applyAlignment="1">
      <alignment horizontal="center"/>
    </xf>
    <xf numFmtId="0" fontId="3" fillId="2" borderId="65" xfId="10" applyFont="1" applyFill="1" applyBorder="1" applyAlignment="1">
      <alignment horizontal="center" vertical="center" wrapText="1"/>
    </xf>
    <xf numFmtId="0" fontId="3" fillId="2" borderId="79" xfId="10" applyFont="1" applyFill="1" applyBorder="1" applyAlignment="1">
      <alignment horizontal="center" vertical="center" wrapText="1"/>
    </xf>
    <xf numFmtId="0" fontId="3" fillId="2" borderId="75" xfId="10" applyFont="1" applyFill="1" applyBorder="1" applyAlignment="1">
      <alignment horizontal="center"/>
    </xf>
    <xf numFmtId="0" fontId="4" fillId="2" borderId="76" xfId="10" applyFill="1" applyBorder="1" applyAlignment="1">
      <alignment horizontal="center"/>
    </xf>
    <xf numFmtId="0" fontId="4" fillId="2" borderId="77" xfId="10" applyFill="1" applyBorder="1" applyAlignment="1">
      <alignment horizontal="center"/>
    </xf>
    <xf numFmtId="0" fontId="3" fillId="2" borderId="4" xfId="10" applyFont="1" applyFill="1" applyBorder="1" applyAlignment="1">
      <alignment horizontal="center" vertical="center" wrapText="1"/>
    </xf>
    <xf numFmtId="0" fontId="4" fillId="2" borderId="80" xfId="10" applyFill="1" applyBorder="1" applyAlignment="1">
      <alignment horizontal="center" vertical="center" wrapText="1"/>
    </xf>
    <xf numFmtId="0" fontId="3" fillId="2" borderId="64" xfId="10" applyFont="1" applyFill="1" applyBorder="1" applyAlignment="1">
      <alignment horizontal="center" vertical="center" wrapText="1"/>
    </xf>
    <xf numFmtId="0" fontId="3" fillId="2" borderId="74" xfId="10" applyFont="1" applyFill="1" applyBorder="1" applyAlignment="1">
      <alignment horizontal="center" vertical="center" wrapText="1"/>
    </xf>
    <xf numFmtId="0" fontId="4" fillId="2" borderId="75" xfId="10" applyFill="1" applyBorder="1" applyAlignment="1">
      <alignment horizontal="center"/>
    </xf>
    <xf numFmtId="0" fontId="4" fillId="2" borderId="78" xfId="10" applyFill="1" applyBorder="1" applyAlignment="1">
      <alignment horizontal="center"/>
    </xf>
    <xf numFmtId="0" fontId="4" fillId="2" borderId="60" xfId="10" applyFill="1" applyBorder="1" applyAlignment="1">
      <alignment horizontal="center"/>
    </xf>
    <xf numFmtId="0" fontId="4" fillId="3" borderId="13" xfId="10" applyFill="1" applyBorder="1" applyAlignment="1" applyProtection="1">
      <alignment horizontal="center"/>
      <protection locked="0"/>
    </xf>
    <xf numFmtId="0" fontId="4" fillId="3" borderId="59" xfId="10" applyFill="1" applyBorder="1" applyAlignment="1" applyProtection="1">
      <alignment horizontal="center"/>
      <protection locked="0"/>
    </xf>
    <xf numFmtId="0" fontId="4" fillId="2" borderId="10" xfId="10" applyFill="1" applyBorder="1" applyAlignment="1">
      <alignment horizontal="center"/>
    </xf>
    <xf numFmtId="0" fontId="4" fillId="2" borderId="50" xfId="10" applyFill="1" applyBorder="1" applyAlignment="1">
      <alignment horizontal="center"/>
    </xf>
    <xf numFmtId="0" fontId="4" fillId="0" borderId="0" xfId="10" applyAlignment="1">
      <alignment horizontal="center"/>
    </xf>
    <xf numFmtId="0" fontId="15" fillId="2" borderId="39" xfId="7" applyFont="1" applyFill="1" applyBorder="1" applyAlignment="1" applyProtection="1">
      <alignment vertical="center"/>
      <protection hidden="1"/>
    </xf>
    <xf numFmtId="0" fontId="15" fillId="2" borderId="39" xfId="7" applyFont="1" applyFill="1" applyBorder="1" applyAlignment="1" applyProtection="1">
      <alignment horizontal="center" vertical="center"/>
      <protection hidden="1"/>
    </xf>
    <xf numFmtId="0" fontId="14" fillId="2" borderId="40" xfId="0" applyFont="1" applyFill="1" applyBorder="1" applyAlignment="1" applyProtection="1">
      <alignment horizontal="center" vertical="center"/>
      <protection hidden="1"/>
    </xf>
    <xf numFmtId="1" fontId="30" fillId="2" borderId="0" xfId="8" applyNumberFormat="1" applyFont="1" applyFill="1" applyAlignment="1" applyProtection="1">
      <alignment horizontal="center" vertical="center"/>
      <protection hidden="1"/>
    </xf>
    <xf numFmtId="0" fontId="30" fillId="2" borderId="0" xfId="0" applyFont="1" applyFill="1" applyAlignment="1" applyProtection="1">
      <alignment vertical="center"/>
      <protection hidden="1"/>
    </xf>
    <xf numFmtId="2" fontId="18" fillId="2" borderId="87" xfId="8" applyNumberFormat="1" applyFont="1" applyFill="1" applyBorder="1" applyAlignment="1" applyProtection="1">
      <alignment horizontal="center" vertical="center"/>
      <protection hidden="1"/>
    </xf>
    <xf numFmtId="0" fontId="15" fillId="2" borderId="0" xfId="7" applyFont="1" applyFill="1" applyAlignment="1" applyProtection="1">
      <alignment vertical="center"/>
      <protection hidden="1"/>
    </xf>
    <xf numFmtId="0" fontId="15" fillId="2" borderId="0" xfId="7" applyFont="1" applyFill="1" applyAlignment="1" applyProtection="1">
      <alignment horizontal="center" vertical="center"/>
      <protection hidden="1"/>
    </xf>
    <xf numFmtId="0" fontId="14" fillId="2" borderId="88" xfId="0" applyFont="1" applyFill="1" applyBorder="1" applyAlignment="1" applyProtection="1">
      <alignment horizontal="center" vertical="center"/>
      <protection hidden="1"/>
    </xf>
    <xf numFmtId="1" fontId="14" fillId="2" borderId="0" xfId="8" applyNumberFormat="1" applyFont="1" applyFill="1" applyAlignment="1" applyProtection="1">
      <alignment horizontal="center" vertical="center"/>
      <protection hidden="1"/>
    </xf>
    <xf numFmtId="2" fontId="50" fillId="2" borderId="0" xfId="0" applyNumberFormat="1" applyFont="1" applyFill="1" applyAlignment="1" applyProtection="1">
      <alignment horizontal="center" vertical="center"/>
      <protection hidden="1"/>
    </xf>
    <xf numFmtId="1" fontId="18" fillId="4" borderId="20" xfId="8" applyNumberFormat="1" applyFont="1" applyFill="1" applyBorder="1" applyAlignment="1" applyProtection="1">
      <alignment horizontal="center" vertical="center"/>
      <protection hidden="1"/>
    </xf>
    <xf numFmtId="1" fontId="18" fillId="4" borderId="89" xfId="8" applyNumberFormat="1" applyFont="1" applyFill="1" applyBorder="1" applyAlignment="1" applyProtection="1">
      <alignment horizontal="center" vertical="center"/>
      <protection hidden="1"/>
    </xf>
    <xf numFmtId="0" fontId="59" fillId="2" borderId="0" xfId="8" applyFont="1" applyFill="1" applyAlignment="1" applyProtection="1">
      <alignment horizontal="center" vertical="center"/>
      <protection hidden="1"/>
    </xf>
    <xf numFmtId="2" fontId="18" fillId="4" borderId="20" xfId="8" applyNumberFormat="1" applyFont="1" applyFill="1" applyBorder="1" applyAlignment="1" applyProtection="1">
      <alignment horizontal="center" vertical="center"/>
      <protection hidden="1"/>
    </xf>
    <xf numFmtId="1" fontId="18" fillId="4" borderId="90" xfId="8" applyNumberFormat="1" applyFont="1" applyFill="1" applyBorder="1" applyAlignment="1" applyProtection="1">
      <alignment horizontal="center" vertical="center"/>
      <protection hidden="1"/>
    </xf>
    <xf numFmtId="0" fontId="60" fillId="2" borderId="0" xfId="7" applyFont="1" applyFill="1" applyAlignment="1" applyProtection="1">
      <alignment vertical="center"/>
      <protection hidden="1"/>
    </xf>
    <xf numFmtId="2" fontId="52" fillId="2" borderId="0" xfId="0" applyNumberFormat="1" applyFont="1" applyFill="1" applyAlignment="1" applyProtection="1">
      <alignment horizontal="center" vertical="center"/>
      <protection hidden="1"/>
    </xf>
    <xf numFmtId="0" fontId="53" fillId="2" borderId="0" xfId="7" applyFont="1" applyFill="1" applyAlignment="1" applyProtection="1">
      <alignment vertical="center"/>
      <protection hidden="1"/>
    </xf>
    <xf numFmtId="2" fontId="52" fillId="2" borderId="42" xfId="0" applyNumberFormat="1" applyFont="1" applyFill="1" applyBorder="1" applyAlignment="1" applyProtection="1">
      <alignment horizontal="center" vertical="center"/>
      <protection hidden="1"/>
    </xf>
    <xf numFmtId="1" fontId="61" fillId="2" borderId="0" xfId="8" applyNumberFormat="1" applyFont="1" applyFill="1" applyAlignment="1" applyProtection="1">
      <alignment horizontal="center" vertical="center"/>
      <protection hidden="1"/>
    </xf>
    <xf numFmtId="1" fontId="18" fillId="2" borderId="0" xfId="8" applyNumberFormat="1" applyFont="1" applyFill="1" applyAlignment="1" applyProtection="1">
      <alignment horizontal="center" vertical="center"/>
      <protection hidden="1"/>
    </xf>
    <xf numFmtId="0" fontId="14" fillId="2" borderId="42" xfId="0" applyFont="1" applyFill="1" applyBorder="1" applyProtection="1">
      <protection hidden="1"/>
    </xf>
    <xf numFmtId="164" fontId="30" fillId="2" borderId="0" xfId="0" applyNumberFormat="1" applyFont="1" applyFill="1" applyAlignment="1" applyProtection="1">
      <alignment horizontal="center" vertical="center"/>
      <protection hidden="1"/>
    </xf>
    <xf numFmtId="164" fontId="18" fillId="4" borderId="87" xfId="8" applyNumberFormat="1" applyFont="1" applyFill="1" applyBorder="1" applyAlignment="1" applyProtection="1">
      <alignment horizontal="center" vertical="center"/>
      <protection hidden="1"/>
    </xf>
    <xf numFmtId="0" fontId="19" fillId="4" borderId="11" xfId="8" applyFont="1" applyFill="1" applyBorder="1" applyAlignment="1" applyProtection="1">
      <alignment horizontal="center" vertical="center"/>
      <protection hidden="1"/>
    </xf>
    <xf numFmtId="0" fontId="19" fillId="4" borderId="37" xfId="8" applyFont="1" applyFill="1" applyBorder="1" applyAlignment="1" applyProtection="1">
      <alignment horizontal="center" vertical="center"/>
      <protection hidden="1"/>
    </xf>
    <xf numFmtId="0" fontId="19" fillId="4" borderId="60" xfId="8" applyFont="1" applyFill="1" applyBorder="1" applyAlignment="1" applyProtection="1">
      <alignment horizontal="center" vertical="center"/>
      <protection hidden="1"/>
    </xf>
    <xf numFmtId="0" fontId="14" fillId="2" borderId="0" xfId="8" applyFont="1" applyFill="1" applyAlignment="1" applyProtection="1">
      <alignment horizontal="right" vertical="center"/>
      <protection hidden="1"/>
    </xf>
    <xf numFmtId="0" fontId="64" fillId="2" borderId="41" xfId="8" applyFont="1" applyFill="1" applyBorder="1" applyAlignment="1" applyProtection="1">
      <alignment vertical="center"/>
      <protection hidden="1"/>
    </xf>
    <xf numFmtId="1" fontId="58" fillId="4" borderId="31" xfId="8" applyNumberFormat="1" applyFont="1" applyFill="1" applyBorder="1" applyAlignment="1" applyProtection="1">
      <alignment horizontal="center" vertical="center"/>
      <protection hidden="1"/>
    </xf>
  </cellXfs>
  <cellStyles count="11">
    <cellStyle name="Hypertextový odkaz" xfId="4" builtinId="8"/>
    <cellStyle name="Normální" xfId="0" builtinId="0"/>
    <cellStyle name="normální 2" xfId="1" xr:uid="{00000000-0005-0000-0000-000002000000}"/>
    <cellStyle name="normální 3" xfId="2" xr:uid="{00000000-0005-0000-0000-000003000000}"/>
    <cellStyle name="Normální 4" xfId="10" xr:uid="{00000000-0005-0000-0000-000004000000}"/>
    <cellStyle name="normální_mater" xfId="9" xr:uid="{00000000-0005-0000-0000-000005000000}"/>
    <cellStyle name="Procenta" xfId="3" builtinId="5"/>
    <cellStyle name="Standard_HWB Kurzverf. Formular" xfId="8" xr:uid="{00000000-0005-0000-0000-000007000000}"/>
    <cellStyle name="Standard_HWB Kurzverf. Formular (2)" xfId="7" xr:uid="{00000000-0005-0000-0000-000008000000}"/>
    <cellStyle name="Standard_k-Wert Kalkulation" xfId="5" xr:uid="{00000000-0005-0000-0000-000009000000}"/>
    <cellStyle name="Standard_LEG HZ-K Formular" xfId="6" xr:uid="{00000000-0005-0000-0000-00000A000000}"/>
  </cellStyles>
  <dxfs count="13">
    <dxf>
      <font>
        <color rgb="FF008600"/>
      </font>
    </dxf>
    <dxf>
      <fill>
        <patternFill>
          <bgColor rgb="FF92D05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8600"/>
      <color rgb="FFE43900"/>
      <color rgb="FFBB2B0A"/>
      <color rgb="FF006500"/>
      <color rgb="FF993366"/>
      <color rgb="FFE7C343"/>
      <color rgb="FFA7150A"/>
      <color rgb="FF706F6F"/>
      <color rgb="FFDE7F20"/>
      <color rgb="FF3F96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87</xdr:row>
      <xdr:rowOff>0</xdr:rowOff>
    </xdr:from>
    <xdr:to>
      <xdr:col>19</xdr:col>
      <xdr:colOff>138450</xdr:colOff>
      <xdr:row>117</xdr:row>
      <xdr:rowOff>142202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71F9ECAF-41DE-40CC-9B66-ADF828AD3C0A}"/>
            </a:ext>
          </a:extLst>
        </xdr:cNvPr>
        <xdr:cNvGrpSpPr/>
      </xdr:nvGrpSpPr>
      <xdr:grpSpPr>
        <a:xfrm>
          <a:off x="6295159" y="25249909"/>
          <a:ext cx="3420246" cy="5077884"/>
          <a:chOff x="12992100" y="7172325"/>
          <a:chExt cx="2105024" cy="2800350"/>
        </a:xfrm>
      </xdr:grpSpPr>
      <xdr:pic>
        <xdr:nvPicPr>
          <xdr:cNvPr id="5" name="Obrázek 4">
            <a:extLst>
              <a:ext uri="{FF2B5EF4-FFF2-40B4-BE49-F238E27FC236}">
                <a16:creationId xmlns:a16="http://schemas.microsoft.com/office/drawing/2014/main" id="{43C2DD4C-C6F7-6604-159F-08173EDDE54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14051" r="87812"/>
          <a:stretch/>
        </xdr:blipFill>
        <xdr:spPr>
          <a:xfrm>
            <a:off x="12992100" y="7172325"/>
            <a:ext cx="790576" cy="2800350"/>
          </a:xfrm>
          <a:prstGeom prst="rect">
            <a:avLst/>
          </a:prstGeom>
        </xdr:spPr>
      </xdr:pic>
      <xdr:pic>
        <xdr:nvPicPr>
          <xdr:cNvPr id="6" name="Obrázek 5">
            <a:extLst>
              <a:ext uri="{FF2B5EF4-FFF2-40B4-BE49-F238E27FC236}">
                <a16:creationId xmlns:a16="http://schemas.microsoft.com/office/drawing/2014/main" id="{A833C677-D5E7-A086-3006-7525D9E42CD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42" t="14051"/>
          <a:stretch/>
        </xdr:blipFill>
        <xdr:spPr>
          <a:xfrm>
            <a:off x="13763625" y="7172325"/>
            <a:ext cx="1333499" cy="280035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403411</xdr:colOff>
      <xdr:row>19</xdr:row>
      <xdr:rowOff>22942</xdr:rowOff>
    </xdr:from>
    <xdr:to>
      <xdr:col>17</xdr:col>
      <xdr:colOff>220943</xdr:colOff>
      <xdr:row>31</xdr:row>
      <xdr:rowOff>141019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FD4C5E7-6738-4894-938A-B7BDD3EC9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852" y="4785442"/>
          <a:ext cx="2238003" cy="2404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351119</xdr:colOff>
      <xdr:row>34</xdr:row>
      <xdr:rowOff>25352</xdr:rowOff>
    </xdr:from>
    <xdr:to>
      <xdr:col>8</xdr:col>
      <xdr:colOff>318242</xdr:colOff>
      <xdr:row>43</xdr:row>
      <xdr:rowOff>156881</xdr:rowOff>
    </xdr:to>
    <xdr:pic>
      <xdr:nvPicPr>
        <xdr:cNvPr id="3" name="Obrázek 2" descr="500_110_Side_FTG4978_1200x1200_AAARadiatory">
          <a:extLst>
            <a:ext uri="{FF2B5EF4-FFF2-40B4-BE49-F238E27FC236}">
              <a16:creationId xmlns:a16="http://schemas.microsoft.com/office/drawing/2014/main" id="{7DFC84DF-E240-4003-9EB5-196B69B7D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619" y="7667764"/>
          <a:ext cx="1782476" cy="1857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194236</xdr:colOff>
      <xdr:row>46</xdr:row>
      <xdr:rowOff>3736</xdr:rowOff>
    </xdr:from>
    <xdr:to>
      <xdr:col>7</xdr:col>
      <xdr:colOff>349437</xdr:colOff>
      <xdr:row>57</xdr:row>
      <xdr:rowOff>145677</xdr:rowOff>
    </xdr:to>
    <xdr:pic>
      <xdr:nvPicPr>
        <xdr:cNvPr id="4" name="Obrázek 3" descr="Bruckner - ALBRECHT otopné těleso 500x1570 mm, středové připojení, bílá  600.115.4 | HezkaKoupelna.cz">
          <a:extLst>
            <a:ext uri="{FF2B5EF4-FFF2-40B4-BE49-F238E27FC236}">
              <a16:creationId xmlns:a16="http://schemas.microsoft.com/office/drawing/2014/main" id="{25BA303F-1977-47A4-B429-1A96D7036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0854" y="9965765"/>
          <a:ext cx="760318" cy="2271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52</xdr:row>
      <xdr:rowOff>45354</xdr:rowOff>
    </xdr:from>
    <xdr:to>
      <xdr:col>2</xdr:col>
      <xdr:colOff>352239</xdr:colOff>
      <xdr:row>66</xdr:row>
      <xdr:rowOff>28761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27732B1-29A7-F0F9-2176-122FB49B5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1" y="10179954"/>
          <a:ext cx="2466788" cy="2650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575236</xdr:colOff>
      <xdr:row>52</xdr:row>
      <xdr:rowOff>58971</xdr:rowOff>
    </xdr:from>
    <xdr:to>
      <xdr:col>7</xdr:col>
      <xdr:colOff>209177</xdr:colOff>
      <xdr:row>66</xdr:row>
      <xdr:rowOff>159870</xdr:rowOff>
    </xdr:to>
    <xdr:pic>
      <xdr:nvPicPr>
        <xdr:cNvPr id="3" name="Obrázek 2" descr="500_110_Side_FTG4978_1200x1200_AAARadiatory">
          <a:extLst>
            <a:ext uri="{FF2B5EF4-FFF2-40B4-BE49-F238E27FC236}">
              <a16:creationId xmlns:a16="http://schemas.microsoft.com/office/drawing/2014/main" id="{94E1796A-57C7-F042-5016-2ACE4630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6986" y="10193571"/>
          <a:ext cx="2681941" cy="2767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59766</xdr:colOff>
      <xdr:row>51</xdr:row>
      <xdr:rowOff>171824</xdr:rowOff>
    </xdr:from>
    <xdr:to>
      <xdr:col>9</xdr:col>
      <xdr:colOff>331841</xdr:colOff>
      <xdr:row>65</xdr:row>
      <xdr:rowOff>134473</xdr:rowOff>
    </xdr:to>
    <xdr:pic>
      <xdr:nvPicPr>
        <xdr:cNvPr id="4" name="Obrázek 3" descr="Bruckner - ALBRECHT otopné těleso 500x1570 mm, středové připojení, bílá  600.115.4 | HezkaKoupelna.cz">
          <a:extLst>
            <a:ext uri="{FF2B5EF4-FFF2-40B4-BE49-F238E27FC236}">
              <a16:creationId xmlns:a16="http://schemas.microsoft.com/office/drawing/2014/main" id="{D6CDAC5C-3CDC-524C-84F5-8A1E00793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9116" y="10115924"/>
          <a:ext cx="881675" cy="2629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sivnidomy.sharepoint.com/samba/Porsenna_ops/PROJEKTY/14038_ISO%2050001%20Opava_2/03%20&#345;e&#353;en&#237;/03%20Ak&#269;n&#237;%20pl&#225;n/Ak&#269;n&#237;%20pl&#225;n%20Statut&#225;rn&#237;ho%20m&#283;sta%20Opav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sivnidomy.sharepoint.com/Projekty/09_CPD/12%20PHPP/Zkou&#382;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řehled budov a VO"/>
      <sheetName val="návod k použití 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Úvod"/>
      <sheetName val="Hodnocení"/>
      <sheetName val="Přehled"/>
      <sheetName val="Vytápěná plocha"/>
      <sheetName val="Klima"/>
      <sheetName val="U-hodnoty"/>
      <sheetName val="Materiály"/>
      <sheetName val="Plochy"/>
      <sheetName val="Zemina"/>
      <sheetName val="Prvky"/>
      <sheetName val="Okna"/>
      <sheetName val="Zastínění"/>
      <sheetName val="Větrání"/>
      <sheetName val="Větrání Další"/>
      <sheetName val="VytSezonní"/>
      <sheetName val="Vytápění"/>
      <sheetName val="Tepelný výkon"/>
      <sheetName val="Větrání-L"/>
      <sheetName val="Léto"/>
      <sheetName val="Chlazení"/>
      <sheetName val="Chladicí jednotky"/>
      <sheetName val="Chladicí výkon"/>
      <sheetName val="TV+rozvody"/>
      <sheetName val="TV-solár"/>
      <sheetName val="Fotovoltaika"/>
      <sheetName val="Elektřina"/>
      <sheetName val="Užití Nebyt"/>
      <sheetName val="Elektřina Nebyt"/>
      <sheetName val="Elektřina pom"/>
      <sheetName val="Zisky"/>
      <sheetName val="Zisky Nebyt"/>
      <sheetName val="PrimárníE"/>
      <sheetName val="Kompakt"/>
      <sheetName val="TČ"/>
      <sheetName val="TČ země"/>
      <sheetName val="Kotel"/>
      <sheetName val="CZT"/>
      <sheetName val="Data"/>
      <sheetName val="CPD_databáze"/>
      <sheetName val="CPD_číselníky"/>
      <sheetName val="CPD_konstruk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zumny@rozumny.eu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6"/>
    <pageSetUpPr fitToPage="1"/>
  </sheetPr>
  <dimension ref="A1:WWL146"/>
  <sheetViews>
    <sheetView tabSelected="1" showRuler="0" topLeftCell="A2" zoomScale="110" zoomScaleNormal="110" workbookViewId="0">
      <selection activeCell="H10" sqref="H10:L10"/>
    </sheetView>
  </sheetViews>
  <sheetFormatPr defaultColWidth="0" defaultRowHeight="12.75" zeroHeight="1"/>
  <cols>
    <col min="1" max="1" width="2.140625" style="8" customWidth="1"/>
    <col min="2" max="2" width="2.28515625" style="8" customWidth="1"/>
    <col min="3" max="3" width="2.7109375" style="8" customWidth="1"/>
    <col min="4" max="4" width="24.7109375" style="8" customWidth="1"/>
    <col min="5" max="7" width="7" style="8" customWidth="1"/>
    <col min="8" max="8" width="4.5703125" style="8" customWidth="1"/>
    <col min="9" max="9" width="1.42578125" style="8" customWidth="1"/>
    <col min="10" max="10" width="13.42578125" style="8" customWidth="1"/>
    <col min="11" max="11" width="2.42578125" style="8" customWidth="1"/>
    <col min="12" max="12" width="13.85546875" style="8" customWidth="1"/>
    <col min="13" max="13" width="5.7109375" style="8" customWidth="1"/>
    <col min="14" max="14" width="12.7109375" style="8" customWidth="1"/>
    <col min="15" max="15" width="3" style="8" customWidth="1"/>
    <col min="16" max="16" width="12.7109375" style="8" customWidth="1"/>
    <col min="17" max="17" width="3.28515625" style="8" customWidth="1"/>
    <col min="18" max="18" width="12.7109375" style="8" customWidth="1"/>
    <col min="19" max="19" width="4.85546875" style="8" customWidth="1"/>
    <col min="20" max="20" width="8" style="8" customWidth="1"/>
    <col min="21" max="21" width="7.85546875" style="8" customWidth="1"/>
    <col min="22" max="22" width="2.5703125" style="8" customWidth="1"/>
    <col min="23" max="23" width="12.7109375" style="8" customWidth="1"/>
    <col min="24" max="24" width="2.85546875" style="8" customWidth="1"/>
    <col min="25" max="25" width="10.5703125" style="8" customWidth="1"/>
    <col min="26" max="26" width="9.42578125" style="8" customWidth="1"/>
    <col min="27" max="27" width="2.7109375" style="8" customWidth="1"/>
    <col min="28" max="29" width="11.42578125" style="8" hidden="1" customWidth="1"/>
    <col min="30" max="30" width="27.85546875" style="8" customWidth="1"/>
    <col min="31" max="31" width="11.42578125" style="8" customWidth="1"/>
    <col min="32" max="32" width="11.42578125" style="8" hidden="1" customWidth="1"/>
    <col min="33" max="37" width="11.42578125" style="8" customWidth="1"/>
    <col min="38" max="39" width="11.42578125" style="8" hidden="1" customWidth="1"/>
    <col min="40" max="40" width="11.42578125" style="10" hidden="1" customWidth="1"/>
    <col min="41" max="264" width="11.42578125" style="8" hidden="1"/>
    <col min="265" max="265" width="2.28515625" style="8" hidden="1"/>
    <col min="266" max="266" width="2.7109375" style="8" hidden="1"/>
    <col min="267" max="268" width="24.7109375" style="8" hidden="1"/>
    <col min="269" max="269" width="4.42578125" style="8" hidden="1"/>
    <col min="270" max="270" width="1.42578125" style="8" hidden="1"/>
    <col min="271" max="271" width="13.42578125" style="8" hidden="1"/>
    <col min="272" max="272" width="2.42578125" style="8" hidden="1"/>
    <col min="273" max="273" width="16.140625" style="8" hidden="1"/>
    <col min="274" max="274" width="5.7109375" style="8" hidden="1"/>
    <col min="275" max="275" width="12.7109375" style="8" hidden="1"/>
    <col min="276" max="276" width="3" style="8" hidden="1"/>
    <col min="277" max="277" width="12.7109375" style="8" hidden="1"/>
    <col min="278" max="278" width="3.28515625" style="8" hidden="1"/>
    <col min="279" max="279" width="12.7109375" style="8" hidden="1"/>
    <col min="280" max="280" width="4.85546875" style="8" hidden="1"/>
    <col min="281" max="281" width="12.7109375" style="8" hidden="1"/>
    <col min="282" max="282" width="8.140625" style="8" hidden="1"/>
    <col min="283" max="283" width="2.7109375" style="8" hidden="1"/>
    <col min="284" max="285" width="11.42578125" style="8" hidden="1"/>
    <col min="286" max="286" width="27.85546875" style="8" hidden="1"/>
    <col min="287" max="520" width="11.42578125" style="8" hidden="1"/>
    <col min="521" max="521" width="2.28515625" style="8" hidden="1"/>
    <col min="522" max="522" width="2.7109375" style="8" hidden="1"/>
    <col min="523" max="524" width="24.7109375" style="8" hidden="1"/>
    <col min="525" max="525" width="4.42578125" style="8" hidden="1"/>
    <col min="526" max="526" width="1.42578125" style="8" hidden="1"/>
    <col min="527" max="527" width="13.42578125" style="8" hidden="1"/>
    <col min="528" max="528" width="2.42578125" style="8" hidden="1"/>
    <col min="529" max="529" width="16.140625" style="8" hidden="1"/>
    <col min="530" max="530" width="5.7109375" style="8" hidden="1"/>
    <col min="531" max="531" width="12.7109375" style="8" hidden="1"/>
    <col min="532" max="532" width="3" style="8" hidden="1"/>
    <col min="533" max="533" width="12.7109375" style="8" hidden="1"/>
    <col min="534" max="534" width="3.28515625" style="8" hidden="1"/>
    <col min="535" max="535" width="12.7109375" style="8" hidden="1"/>
    <col min="536" max="536" width="4.85546875" style="8" hidden="1"/>
    <col min="537" max="537" width="12.7109375" style="8" hidden="1"/>
    <col min="538" max="538" width="8.140625" style="8" hidden="1"/>
    <col min="539" max="539" width="2.7109375" style="8" hidden="1"/>
    <col min="540" max="541" width="11.42578125" style="8" hidden="1"/>
    <col min="542" max="542" width="27.85546875" style="8" hidden="1"/>
    <col min="543" max="776" width="11.42578125" style="8" hidden="1"/>
    <col min="777" max="777" width="2.28515625" style="8" hidden="1"/>
    <col min="778" max="778" width="2.7109375" style="8" hidden="1"/>
    <col min="779" max="780" width="24.7109375" style="8" hidden="1"/>
    <col min="781" max="781" width="4.42578125" style="8" hidden="1"/>
    <col min="782" max="782" width="1.42578125" style="8" hidden="1"/>
    <col min="783" max="783" width="13.42578125" style="8" hidden="1"/>
    <col min="784" max="784" width="2.42578125" style="8" hidden="1"/>
    <col min="785" max="785" width="16.140625" style="8" hidden="1"/>
    <col min="786" max="786" width="5.7109375" style="8" hidden="1"/>
    <col min="787" max="787" width="12.7109375" style="8" hidden="1"/>
    <col min="788" max="788" width="3" style="8" hidden="1"/>
    <col min="789" max="789" width="12.7109375" style="8" hidden="1"/>
    <col min="790" max="790" width="3.28515625" style="8" hidden="1"/>
    <col min="791" max="791" width="12.7109375" style="8" hidden="1"/>
    <col min="792" max="792" width="4.85546875" style="8" hidden="1"/>
    <col min="793" max="793" width="12.7109375" style="8" hidden="1"/>
    <col min="794" max="794" width="8.140625" style="8" hidden="1"/>
    <col min="795" max="795" width="2.7109375" style="8" hidden="1"/>
    <col min="796" max="797" width="11.42578125" style="8" hidden="1"/>
    <col min="798" max="798" width="27.85546875" style="8" hidden="1"/>
    <col min="799" max="1032" width="11.42578125" style="8" hidden="1"/>
    <col min="1033" max="1033" width="2.28515625" style="8" hidden="1"/>
    <col min="1034" max="1034" width="2.7109375" style="8" hidden="1"/>
    <col min="1035" max="1036" width="24.7109375" style="8" hidden="1"/>
    <col min="1037" max="1037" width="4.42578125" style="8" hidden="1"/>
    <col min="1038" max="1038" width="1.42578125" style="8" hidden="1"/>
    <col min="1039" max="1039" width="13.42578125" style="8" hidden="1"/>
    <col min="1040" max="1040" width="2.42578125" style="8" hidden="1"/>
    <col min="1041" max="1041" width="16.140625" style="8" hidden="1"/>
    <col min="1042" max="1042" width="5.7109375" style="8" hidden="1"/>
    <col min="1043" max="1043" width="12.7109375" style="8" hidden="1"/>
    <col min="1044" max="1044" width="3" style="8" hidden="1"/>
    <col min="1045" max="1045" width="12.7109375" style="8" hidden="1"/>
    <col min="1046" max="1046" width="3.28515625" style="8" hidden="1"/>
    <col min="1047" max="1047" width="12.7109375" style="8" hidden="1"/>
    <col min="1048" max="1048" width="4.85546875" style="8" hidden="1"/>
    <col min="1049" max="1049" width="12.7109375" style="8" hidden="1"/>
    <col min="1050" max="1050" width="8.140625" style="8" hidden="1"/>
    <col min="1051" max="1051" width="2.7109375" style="8" hidden="1"/>
    <col min="1052" max="1053" width="11.42578125" style="8" hidden="1"/>
    <col min="1054" max="1054" width="27.85546875" style="8" hidden="1"/>
    <col min="1055" max="1288" width="11.42578125" style="8" hidden="1"/>
    <col min="1289" max="1289" width="2.28515625" style="8" hidden="1"/>
    <col min="1290" max="1290" width="2.7109375" style="8" hidden="1"/>
    <col min="1291" max="1292" width="24.7109375" style="8" hidden="1"/>
    <col min="1293" max="1293" width="4.42578125" style="8" hidden="1"/>
    <col min="1294" max="1294" width="1.42578125" style="8" hidden="1"/>
    <col min="1295" max="1295" width="13.42578125" style="8" hidden="1"/>
    <col min="1296" max="1296" width="2.42578125" style="8" hidden="1"/>
    <col min="1297" max="1297" width="16.140625" style="8" hidden="1"/>
    <col min="1298" max="1298" width="5.7109375" style="8" hidden="1"/>
    <col min="1299" max="1299" width="12.7109375" style="8" hidden="1"/>
    <col min="1300" max="1300" width="3" style="8" hidden="1"/>
    <col min="1301" max="1301" width="12.7109375" style="8" hidden="1"/>
    <col min="1302" max="1302" width="3.28515625" style="8" hidden="1"/>
    <col min="1303" max="1303" width="12.7109375" style="8" hidden="1"/>
    <col min="1304" max="1304" width="4.85546875" style="8" hidden="1"/>
    <col min="1305" max="1305" width="12.7109375" style="8" hidden="1"/>
    <col min="1306" max="1306" width="8.140625" style="8" hidden="1"/>
    <col min="1307" max="1307" width="2.7109375" style="8" hidden="1"/>
    <col min="1308" max="1309" width="11.42578125" style="8" hidden="1"/>
    <col min="1310" max="1310" width="27.85546875" style="8" hidden="1"/>
    <col min="1311" max="1544" width="11.42578125" style="8" hidden="1"/>
    <col min="1545" max="1545" width="2.28515625" style="8" hidden="1"/>
    <col min="1546" max="1546" width="2.7109375" style="8" hidden="1"/>
    <col min="1547" max="1548" width="24.7109375" style="8" hidden="1"/>
    <col min="1549" max="1549" width="4.42578125" style="8" hidden="1"/>
    <col min="1550" max="1550" width="1.42578125" style="8" hidden="1"/>
    <col min="1551" max="1551" width="13.42578125" style="8" hidden="1"/>
    <col min="1552" max="1552" width="2.42578125" style="8" hidden="1"/>
    <col min="1553" max="1553" width="16.140625" style="8" hidden="1"/>
    <col min="1554" max="1554" width="5.7109375" style="8" hidden="1"/>
    <col min="1555" max="1555" width="12.7109375" style="8" hidden="1"/>
    <col min="1556" max="1556" width="3" style="8" hidden="1"/>
    <col min="1557" max="1557" width="12.7109375" style="8" hidden="1"/>
    <col min="1558" max="1558" width="3.28515625" style="8" hidden="1"/>
    <col min="1559" max="1559" width="12.7109375" style="8" hidden="1"/>
    <col min="1560" max="1560" width="4.85546875" style="8" hidden="1"/>
    <col min="1561" max="1561" width="12.7109375" style="8" hidden="1"/>
    <col min="1562" max="1562" width="8.140625" style="8" hidden="1"/>
    <col min="1563" max="1563" width="2.7109375" style="8" hidden="1"/>
    <col min="1564" max="1565" width="11.42578125" style="8" hidden="1"/>
    <col min="1566" max="1566" width="27.85546875" style="8" hidden="1"/>
    <col min="1567" max="1800" width="11.42578125" style="8" hidden="1"/>
    <col min="1801" max="1801" width="2.28515625" style="8" hidden="1"/>
    <col min="1802" max="1802" width="2.7109375" style="8" hidden="1"/>
    <col min="1803" max="1804" width="24.7109375" style="8" hidden="1"/>
    <col min="1805" max="1805" width="4.42578125" style="8" hidden="1"/>
    <col min="1806" max="1806" width="1.42578125" style="8" hidden="1"/>
    <col min="1807" max="1807" width="13.42578125" style="8" hidden="1"/>
    <col min="1808" max="1808" width="2.42578125" style="8" hidden="1"/>
    <col min="1809" max="1809" width="16.140625" style="8" hidden="1"/>
    <col min="1810" max="1810" width="5.7109375" style="8" hidden="1"/>
    <col min="1811" max="1811" width="12.7109375" style="8" hidden="1"/>
    <col min="1812" max="1812" width="3" style="8" hidden="1"/>
    <col min="1813" max="1813" width="12.7109375" style="8" hidden="1"/>
    <col min="1814" max="1814" width="3.28515625" style="8" hidden="1"/>
    <col min="1815" max="1815" width="12.7109375" style="8" hidden="1"/>
    <col min="1816" max="1816" width="4.85546875" style="8" hidden="1"/>
    <col min="1817" max="1817" width="12.7109375" style="8" hidden="1"/>
    <col min="1818" max="1818" width="8.140625" style="8" hidden="1"/>
    <col min="1819" max="1819" width="2.7109375" style="8" hidden="1"/>
    <col min="1820" max="1821" width="11.42578125" style="8" hidden="1"/>
    <col min="1822" max="1822" width="27.85546875" style="8" hidden="1"/>
    <col min="1823" max="2056" width="11.42578125" style="8" hidden="1"/>
    <col min="2057" max="2057" width="2.28515625" style="8" hidden="1"/>
    <col min="2058" max="2058" width="2.7109375" style="8" hidden="1"/>
    <col min="2059" max="2060" width="24.7109375" style="8" hidden="1"/>
    <col min="2061" max="2061" width="4.42578125" style="8" hidden="1"/>
    <col min="2062" max="2062" width="1.42578125" style="8" hidden="1"/>
    <col min="2063" max="2063" width="13.42578125" style="8" hidden="1"/>
    <col min="2064" max="2064" width="2.42578125" style="8" hidden="1"/>
    <col min="2065" max="2065" width="16.140625" style="8" hidden="1"/>
    <col min="2066" max="2066" width="5.7109375" style="8" hidden="1"/>
    <col min="2067" max="2067" width="12.7109375" style="8" hidden="1"/>
    <col min="2068" max="2068" width="3" style="8" hidden="1"/>
    <col min="2069" max="2069" width="12.7109375" style="8" hidden="1"/>
    <col min="2070" max="2070" width="3.28515625" style="8" hidden="1"/>
    <col min="2071" max="2071" width="12.7109375" style="8" hidden="1"/>
    <col min="2072" max="2072" width="4.85546875" style="8" hidden="1"/>
    <col min="2073" max="2073" width="12.7109375" style="8" hidden="1"/>
    <col min="2074" max="2074" width="8.140625" style="8" hidden="1"/>
    <col min="2075" max="2075" width="2.7109375" style="8" hidden="1"/>
    <col min="2076" max="2077" width="11.42578125" style="8" hidden="1"/>
    <col min="2078" max="2078" width="27.85546875" style="8" hidden="1"/>
    <col min="2079" max="2312" width="11.42578125" style="8" hidden="1"/>
    <col min="2313" max="2313" width="2.28515625" style="8" hidden="1"/>
    <col min="2314" max="2314" width="2.7109375" style="8" hidden="1"/>
    <col min="2315" max="2316" width="24.7109375" style="8" hidden="1"/>
    <col min="2317" max="2317" width="4.42578125" style="8" hidden="1"/>
    <col min="2318" max="2318" width="1.42578125" style="8" hidden="1"/>
    <col min="2319" max="2319" width="13.42578125" style="8" hidden="1"/>
    <col min="2320" max="2320" width="2.42578125" style="8" hidden="1"/>
    <col min="2321" max="2321" width="16.140625" style="8" hidden="1"/>
    <col min="2322" max="2322" width="5.7109375" style="8" hidden="1"/>
    <col min="2323" max="2323" width="12.7109375" style="8" hidden="1"/>
    <col min="2324" max="2324" width="3" style="8" hidden="1"/>
    <col min="2325" max="2325" width="12.7109375" style="8" hidden="1"/>
    <col min="2326" max="2326" width="3.28515625" style="8" hidden="1"/>
    <col min="2327" max="2327" width="12.7109375" style="8" hidden="1"/>
    <col min="2328" max="2328" width="4.85546875" style="8" hidden="1"/>
    <col min="2329" max="2329" width="12.7109375" style="8" hidden="1"/>
    <col min="2330" max="2330" width="8.140625" style="8" hidden="1"/>
    <col min="2331" max="2331" width="2.7109375" style="8" hidden="1"/>
    <col min="2332" max="2333" width="11.42578125" style="8" hidden="1"/>
    <col min="2334" max="2334" width="27.85546875" style="8" hidden="1"/>
    <col min="2335" max="2568" width="11.42578125" style="8" hidden="1"/>
    <col min="2569" max="2569" width="2.28515625" style="8" hidden="1"/>
    <col min="2570" max="2570" width="2.7109375" style="8" hidden="1"/>
    <col min="2571" max="2572" width="24.7109375" style="8" hidden="1"/>
    <col min="2573" max="2573" width="4.42578125" style="8" hidden="1"/>
    <col min="2574" max="2574" width="1.42578125" style="8" hidden="1"/>
    <col min="2575" max="2575" width="13.42578125" style="8" hidden="1"/>
    <col min="2576" max="2576" width="2.42578125" style="8" hidden="1"/>
    <col min="2577" max="2577" width="16.140625" style="8" hidden="1"/>
    <col min="2578" max="2578" width="5.7109375" style="8" hidden="1"/>
    <col min="2579" max="2579" width="12.7109375" style="8" hidden="1"/>
    <col min="2580" max="2580" width="3" style="8" hidden="1"/>
    <col min="2581" max="2581" width="12.7109375" style="8" hidden="1"/>
    <col min="2582" max="2582" width="3.28515625" style="8" hidden="1"/>
    <col min="2583" max="2583" width="12.7109375" style="8" hidden="1"/>
    <col min="2584" max="2584" width="4.85546875" style="8" hidden="1"/>
    <col min="2585" max="2585" width="12.7109375" style="8" hidden="1"/>
    <col min="2586" max="2586" width="8.140625" style="8" hidden="1"/>
    <col min="2587" max="2587" width="2.7109375" style="8" hidden="1"/>
    <col min="2588" max="2589" width="11.42578125" style="8" hidden="1"/>
    <col min="2590" max="2590" width="27.85546875" style="8" hidden="1"/>
    <col min="2591" max="2824" width="11.42578125" style="8" hidden="1"/>
    <col min="2825" max="2825" width="2.28515625" style="8" hidden="1"/>
    <col min="2826" max="2826" width="2.7109375" style="8" hidden="1"/>
    <col min="2827" max="2828" width="24.7109375" style="8" hidden="1"/>
    <col min="2829" max="2829" width="4.42578125" style="8" hidden="1"/>
    <col min="2830" max="2830" width="1.42578125" style="8" hidden="1"/>
    <col min="2831" max="2831" width="13.42578125" style="8" hidden="1"/>
    <col min="2832" max="2832" width="2.42578125" style="8" hidden="1"/>
    <col min="2833" max="2833" width="16.140625" style="8" hidden="1"/>
    <col min="2834" max="2834" width="5.7109375" style="8" hidden="1"/>
    <col min="2835" max="2835" width="12.7109375" style="8" hidden="1"/>
    <col min="2836" max="2836" width="3" style="8" hidden="1"/>
    <col min="2837" max="2837" width="12.7109375" style="8" hidden="1"/>
    <col min="2838" max="2838" width="3.28515625" style="8" hidden="1"/>
    <col min="2839" max="2839" width="12.7109375" style="8" hidden="1"/>
    <col min="2840" max="2840" width="4.85546875" style="8" hidden="1"/>
    <col min="2841" max="2841" width="12.7109375" style="8" hidden="1"/>
    <col min="2842" max="2842" width="8.140625" style="8" hidden="1"/>
    <col min="2843" max="2843" width="2.7109375" style="8" hidden="1"/>
    <col min="2844" max="2845" width="11.42578125" style="8" hidden="1"/>
    <col min="2846" max="2846" width="27.85546875" style="8" hidden="1"/>
    <col min="2847" max="3080" width="11.42578125" style="8" hidden="1"/>
    <col min="3081" max="3081" width="2.28515625" style="8" hidden="1"/>
    <col min="3082" max="3082" width="2.7109375" style="8" hidden="1"/>
    <col min="3083" max="3084" width="24.7109375" style="8" hidden="1"/>
    <col min="3085" max="3085" width="4.42578125" style="8" hidden="1"/>
    <col min="3086" max="3086" width="1.42578125" style="8" hidden="1"/>
    <col min="3087" max="3087" width="13.42578125" style="8" hidden="1"/>
    <col min="3088" max="3088" width="2.42578125" style="8" hidden="1"/>
    <col min="3089" max="3089" width="16.140625" style="8" hidden="1"/>
    <col min="3090" max="3090" width="5.7109375" style="8" hidden="1"/>
    <col min="3091" max="3091" width="12.7109375" style="8" hidden="1"/>
    <col min="3092" max="3092" width="3" style="8" hidden="1"/>
    <col min="3093" max="3093" width="12.7109375" style="8" hidden="1"/>
    <col min="3094" max="3094" width="3.28515625" style="8" hidden="1"/>
    <col min="3095" max="3095" width="12.7109375" style="8" hidden="1"/>
    <col min="3096" max="3096" width="4.85546875" style="8" hidden="1"/>
    <col min="3097" max="3097" width="12.7109375" style="8" hidden="1"/>
    <col min="3098" max="3098" width="8.140625" style="8" hidden="1"/>
    <col min="3099" max="3099" width="2.7109375" style="8" hidden="1"/>
    <col min="3100" max="3101" width="11.42578125" style="8" hidden="1"/>
    <col min="3102" max="3102" width="27.85546875" style="8" hidden="1"/>
    <col min="3103" max="3336" width="11.42578125" style="8" hidden="1"/>
    <col min="3337" max="3337" width="2.28515625" style="8" hidden="1"/>
    <col min="3338" max="3338" width="2.7109375" style="8" hidden="1"/>
    <col min="3339" max="3340" width="24.7109375" style="8" hidden="1"/>
    <col min="3341" max="3341" width="4.42578125" style="8" hidden="1"/>
    <col min="3342" max="3342" width="1.42578125" style="8" hidden="1"/>
    <col min="3343" max="3343" width="13.42578125" style="8" hidden="1"/>
    <col min="3344" max="3344" width="2.42578125" style="8" hidden="1"/>
    <col min="3345" max="3345" width="16.140625" style="8" hidden="1"/>
    <col min="3346" max="3346" width="5.7109375" style="8" hidden="1"/>
    <col min="3347" max="3347" width="12.7109375" style="8" hidden="1"/>
    <col min="3348" max="3348" width="3" style="8" hidden="1"/>
    <col min="3349" max="3349" width="12.7109375" style="8" hidden="1"/>
    <col min="3350" max="3350" width="3.28515625" style="8" hidden="1"/>
    <col min="3351" max="3351" width="12.7109375" style="8" hidden="1"/>
    <col min="3352" max="3352" width="4.85546875" style="8" hidden="1"/>
    <col min="3353" max="3353" width="12.7109375" style="8" hidden="1"/>
    <col min="3354" max="3354" width="8.140625" style="8" hidden="1"/>
    <col min="3355" max="3355" width="2.7109375" style="8" hidden="1"/>
    <col min="3356" max="3357" width="11.42578125" style="8" hidden="1"/>
    <col min="3358" max="3358" width="27.85546875" style="8" hidden="1"/>
    <col min="3359" max="3592" width="11.42578125" style="8" hidden="1"/>
    <col min="3593" max="3593" width="2.28515625" style="8" hidden="1"/>
    <col min="3594" max="3594" width="2.7109375" style="8" hidden="1"/>
    <col min="3595" max="3596" width="24.7109375" style="8" hidden="1"/>
    <col min="3597" max="3597" width="4.42578125" style="8" hidden="1"/>
    <col min="3598" max="3598" width="1.42578125" style="8" hidden="1"/>
    <col min="3599" max="3599" width="13.42578125" style="8" hidden="1"/>
    <col min="3600" max="3600" width="2.42578125" style="8" hidden="1"/>
    <col min="3601" max="3601" width="16.140625" style="8" hidden="1"/>
    <col min="3602" max="3602" width="5.7109375" style="8" hidden="1"/>
    <col min="3603" max="3603" width="12.7109375" style="8" hidden="1"/>
    <col min="3604" max="3604" width="3" style="8" hidden="1"/>
    <col min="3605" max="3605" width="12.7109375" style="8" hidden="1"/>
    <col min="3606" max="3606" width="3.28515625" style="8" hidden="1"/>
    <col min="3607" max="3607" width="12.7109375" style="8" hidden="1"/>
    <col min="3608" max="3608" width="4.85546875" style="8" hidden="1"/>
    <col min="3609" max="3609" width="12.7109375" style="8" hidden="1"/>
    <col min="3610" max="3610" width="8.140625" style="8" hidden="1"/>
    <col min="3611" max="3611" width="2.7109375" style="8" hidden="1"/>
    <col min="3612" max="3613" width="11.42578125" style="8" hidden="1"/>
    <col min="3614" max="3614" width="27.85546875" style="8" hidden="1"/>
    <col min="3615" max="3848" width="11.42578125" style="8" hidden="1"/>
    <col min="3849" max="3849" width="2.28515625" style="8" hidden="1"/>
    <col min="3850" max="3850" width="2.7109375" style="8" hidden="1"/>
    <col min="3851" max="3852" width="24.7109375" style="8" hidden="1"/>
    <col min="3853" max="3853" width="4.42578125" style="8" hidden="1"/>
    <col min="3854" max="3854" width="1.42578125" style="8" hidden="1"/>
    <col min="3855" max="3855" width="13.42578125" style="8" hidden="1"/>
    <col min="3856" max="3856" width="2.42578125" style="8" hidden="1"/>
    <col min="3857" max="3857" width="16.140625" style="8" hidden="1"/>
    <col min="3858" max="3858" width="5.7109375" style="8" hidden="1"/>
    <col min="3859" max="3859" width="12.7109375" style="8" hidden="1"/>
    <col min="3860" max="3860" width="3" style="8" hidden="1"/>
    <col min="3861" max="3861" width="12.7109375" style="8" hidden="1"/>
    <col min="3862" max="3862" width="3.28515625" style="8" hidden="1"/>
    <col min="3863" max="3863" width="12.7109375" style="8" hidden="1"/>
    <col min="3864" max="3864" width="4.85546875" style="8" hidden="1"/>
    <col min="3865" max="3865" width="12.7109375" style="8" hidden="1"/>
    <col min="3866" max="3866" width="8.140625" style="8" hidden="1"/>
    <col min="3867" max="3867" width="2.7109375" style="8" hidden="1"/>
    <col min="3868" max="3869" width="11.42578125" style="8" hidden="1"/>
    <col min="3870" max="3870" width="27.85546875" style="8" hidden="1"/>
    <col min="3871" max="4104" width="11.42578125" style="8" hidden="1"/>
    <col min="4105" max="4105" width="2.28515625" style="8" hidden="1"/>
    <col min="4106" max="4106" width="2.7109375" style="8" hidden="1"/>
    <col min="4107" max="4108" width="24.7109375" style="8" hidden="1"/>
    <col min="4109" max="4109" width="4.42578125" style="8" hidden="1"/>
    <col min="4110" max="4110" width="1.42578125" style="8" hidden="1"/>
    <col min="4111" max="4111" width="13.42578125" style="8" hidden="1"/>
    <col min="4112" max="4112" width="2.42578125" style="8" hidden="1"/>
    <col min="4113" max="4113" width="16.140625" style="8" hidden="1"/>
    <col min="4114" max="4114" width="5.7109375" style="8" hidden="1"/>
    <col min="4115" max="4115" width="12.7109375" style="8" hidden="1"/>
    <col min="4116" max="4116" width="3" style="8" hidden="1"/>
    <col min="4117" max="4117" width="12.7109375" style="8" hidden="1"/>
    <col min="4118" max="4118" width="3.28515625" style="8" hidden="1"/>
    <col min="4119" max="4119" width="12.7109375" style="8" hidden="1"/>
    <col min="4120" max="4120" width="4.85546875" style="8" hidden="1"/>
    <col min="4121" max="4121" width="12.7109375" style="8" hidden="1"/>
    <col min="4122" max="4122" width="8.140625" style="8" hidden="1"/>
    <col min="4123" max="4123" width="2.7109375" style="8" hidden="1"/>
    <col min="4124" max="4125" width="11.42578125" style="8" hidden="1"/>
    <col min="4126" max="4126" width="27.85546875" style="8" hidden="1"/>
    <col min="4127" max="4360" width="11.42578125" style="8" hidden="1"/>
    <col min="4361" max="4361" width="2.28515625" style="8" hidden="1"/>
    <col min="4362" max="4362" width="2.7109375" style="8" hidden="1"/>
    <col min="4363" max="4364" width="24.7109375" style="8" hidden="1"/>
    <col min="4365" max="4365" width="4.42578125" style="8" hidden="1"/>
    <col min="4366" max="4366" width="1.42578125" style="8" hidden="1"/>
    <col min="4367" max="4367" width="13.42578125" style="8" hidden="1"/>
    <col min="4368" max="4368" width="2.42578125" style="8" hidden="1"/>
    <col min="4369" max="4369" width="16.140625" style="8" hidden="1"/>
    <col min="4370" max="4370" width="5.7109375" style="8" hidden="1"/>
    <col min="4371" max="4371" width="12.7109375" style="8" hidden="1"/>
    <col min="4372" max="4372" width="3" style="8" hidden="1"/>
    <col min="4373" max="4373" width="12.7109375" style="8" hidden="1"/>
    <col min="4374" max="4374" width="3.28515625" style="8" hidden="1"/>
    <col min="4375" max="4375" width="12.7109375" style="8" hidden="1"/>
    <col min="4376" max="4376" width="4.85546875" style="8" hidden="1"/>
    <col min="4377" max="4377" width="12.7109375" style="8" hidden="1"/>
    <col min="4378" max="4378" width="8.140625" style="8" hidden="1"/>
    <col min="4379" max="4379" width="2.7109375" style="8" hidden="1"/>
    <col min="4380" max="4381" width="11.42578125" style="8" hidden="1"/>
    <col min="4382" max="4382" width="27.85546875" style="8" hidden="1"/>
    <col min="4383" max="4616" width="11.42578125" style="8" hidden="1"/>
    <col min="4617" max="4617" width="2.28515625" style="8" hidden="1"/>
    <col min="4618" max="4618" width="2.7109375" style="8" hidden="1"/>
    <col min="4619" max="4620" width="24.7109375" style="8" hidden="1"/>
    <col min="4621" max="4621" width="4.42578125" style="8" hidden="1"/>
    <col min="4622" max="4622" width="1.42578125" style="8" hidden="1"/>
    <col min="4623" max="4623" width="13.42578125" style="8" hidden="1"/>
    <col min="4624" max="4624" width="2.42578125" style="8" hidden="1"/>
    <col min="4625" max="4625" width="16.140625" style="8" hidden="1"/>
    <col min="4626" max="4626" width="5.7109375" style="8" hidden="1"/>
    <col min="4627" max="4627" width="12.7109375" style="8" hidden="1"/>
    <col min="4628" max="4628" width="3" style="8" hidden="1"/>
    <col min="4629" max="4629" width="12.7109375" style="8" hidden="1"/>
    <col min="4630" max="4630" width="3.28515625" style="8" hidden="1"/>
    <col min="4631" max="4631" width="12.7109375" style="8" hidden="1"/>
    <col min="4632" max="4632" width="4.85546875" style="8" hidden="1"/>
    <col min="4633" max="4633" width="12.7109375" style="8" hidden="1"/>
    <col min="4634" max="4634" width="8.140625" style="8" hidden="1"/>
    <col min="4635" max="4635" width="2.7109375" style="8" hidden="1"/>
    <col min="4636" max="4637" width="11.42578125" style="8" hidden="1"/>
    <col min="4638" max="4638" width="27.85546875" style="8" hidden="1"/>
    <col min="4639" max="4872" width="11.42578125" style="8" hidden="1"/>
    <col min="4873" max="4873" width="2.28515625" style="8" hidden="1"/>
    <col min="4874" max="4874" width="2.7109375" style="8" hidden="1"/>
    <col min="4875" max="4876" width="24.7109375" style="8" hidden="1"/>
    <col min="4877" max="4877" width="4.42578125" style="8" hidden="1"/>
    <col min="4878" max="4878" width="1.42578125" style="8" hidden="1"/>
    <col min="4879" max="4879" width="13.42578125" style="8" hidden="1"/>
    <col min="4880" max="4880" width="2.42578125" style="8" hidden="1"/>
    <col min="4881" max="4881" width="16.140625" style="8" hidden="1"/>
    <col min="4882" max="4882" width="5.7109375" style="8" hidden="1"/>
    <col min="4883" max="4883" width="12.7109375" style="8" hidden="1"/>
    <col min="4884" max="4884" width="3" style="8" hidden="1"/>
    <col min="4885" max="4885" width="12.7109375" style="8" hidden="1"/>
    <col min="4886" max="4886" width="3.28515625" style="8" hidden="1"/>
    <col min="4887" max="4887" width="12.7109375" style="8" hidden="1"/>
    <col min="4888" max="4888" width="4.85546875" style="8" hidden="1"/>
    <col min="4889" max="4889" width="12.7109375" style="8" hidden="1"/>
    <col min="4890" max="4890" width="8.140625" style="8" hidden="1"/>
    <col min="4891" max="4891" width="2.7109375" style="8" hidden="1"/>
    <col min="4892" max="4893" width="11.42578125" style="8" hidden="1"/>
    <col min="4894" max="4894" width="27.85546875" style="8" hidden="1"/>
    <col min="4895" max="5128" width="11.42578125" style="8" hidden="1"/>
    <col min="5129" max="5129" width="2.28515625" style="8" hidden="1"/>
    <col min="5130" max="5130" width="2.7109375" style="8" hidden="1"/>
    <col min="5131" max="5132" width="24.7109375" style="8" hidden="1"/>
    <col min="5133" max="5133" width="4.42578125" style="8" hidden="1"/>
    <col min="5134" max="5134" width="1.42578125" style="8" hidden="1"/>
    <col min="5135" max="5135" width="13.42578125" style="8" hidden="1"/>
    <col min="5136" max="5136" width="2.42578125" style="8" hidden="1"/>
    <col min="5137" max="5137" width="16.140625" style="8" hidden="1"/>
    <col min="5138" max="5138" width="5.7109375" style="8" hidden="1"/>
    <col min="5139" max="5139" width="12.7109375" style="8" hidden="1"/>
    <col min="5140" max="5140" width="3" style="8" hidden="1"/>
    <col min="5141" max="5141" width="12.7109375" style="8" hidden="1"/>
    <col min="5142" max="5142" width="3.28515625" style="8" hidden="1"/>
    <col min="5143" max="5143" width="12.7109375" style="8" hidden="1"/>
    <col min="5144" max="5144" width="4.85546875" style="8" hidden="1"/>
    <col min="5145" max="5145" width="12.7109375" style="8" hidden="1"/>
    <col min="5146" max="5146" width="8.140625" style="8" hidden="1"/>
    <col min="5147" max="5147" width="2.7109375" style="8" hidden="1"/>
    <col min="5148" max="5149" width="11.42578125" style="8" hidden="1"/>
    <col min="5150" max="5150" width="27.85546875" style="8" hidden="1"/>
    <col min="5151" max="5384" width="11.42578125" style="8" hidden="1"/>
    <col min="5385" max="5385" width="2.28515625" style="8" hidden="1"/>
    <col min="5386" max="5386" width="2.7109375" style="8" hidden="1"/>
    <col min="5387" max="5388" width="24.7109375" style="8" hidden="1"/>
    <col min="5389" max="5389" width="4.42578125" style="8" hidden="1"/>
    <col min="5390" max="5390" width="1.42578125" style="8" hidden="1"/>
    <col min="5391" max="5391" width="13.42578125" style="8" hidden="1"/>
    <col min="5392" max="5392" width="2.42578125" style="8" hidden="1"/>
    <col min="5393" max="5393" width="16.140625" style="8" hidden="1"/>
    <col min="5394" max="5394" width="5.7109375" style="8" hidden="1"/>
    <col min="5395" max="5395" width="12.7109375" style="8" hidden="1"/>
    <col min="5396" max="5396" width="3" style="8" hidden="1"/>
    <col min="5397" max="5397" width="12.7109375" style="8" hidden="1"/>
    <col min="5398" max="5398" width="3.28515625" style="8" hidden="1"/>
    <col min="5399" max="5399" width="12.7109375" style="8" hidden="1"/>
    <col min="5400" max="5400" width="4.85546875" style="8" hidden="1"/>
    <col min="5401" max="5401" width="12.7109375" style="8" hidden="1"/>
    <col min="5402" max="5402" width="8.140625" style="8" hidden="1"/>
    <col min="5403" max="5403" width="2.7109375" style="8" hidden="1"/>
    <col min="5404" max="5405" width="11.42578125" style="8" hidden="1"/>
    <col min="5406" max="5406" width="27.85546875" style="8" hidden="1"/>
    <col min="5407" max="5640" width="11.42578125" style="8" hidden="1"/>
    <col min="5641" max="5641" width="2.28515625" style="8" hidden="1"/>
    <col min="5642" max="5642" width="2.7109375" style="8" hidden="1"/>
    <col min="5643" max="5644" width="24.7109375" style="8" hidden="1"/>
    <col min="5645" max="5645" width="4.42578125" style="8" hidden="1"/>
    <col min="5646" max="5646" width="1.42578125" style="8" hidden="1"/>
    <col min="5647" max="5647" width="13.42578125" style="8" hidden="1"/>
    <col min="5648" max="5648" width="2.42578125" style="8" hidden="1"/>
    <col min="5649" max="5649" width="16.140625" style="8" hidden="1"/>
    <col min="5650" max="5650" width="5.7109375" style="8" hidden="1"/>
    <col min="5651" max="5651" width="12.7109375" style="8" hidden="1"/>
    <col min="5652" max="5652" width="3" style="8" hidden="1"/>
    <col min="5653" max="5653" width="12.7109375" style="8" hidden="1"/>
    <col min="5654" max="5654" width="3.28515625" style="8" hidden="1"/>
    <col min="5655" max="5655" width="12.7109375" style="8" hidden="1"/>
    <col min="5656" max="5656" width="4.85546875" style="8" hidden="1"/>
    <col min="5657" max="5657" width="12.7109375" style="8" hidden="1"/>
    <col min="5658" max="5658" width="8.140625" style="8" hidden="1"/>
    <col min="5659" max="5659" width="2.7109375" style="8" hidden="1"/>
    <col min="5660" max="5661" width="11.42578125" style="8" hidden="1"/>
    <col min="5662" max="5662" width="27.85546875" style="8" hidden="1"/>
    <col min="5663" max="5896" width="11.42578125" style="8" hidden="1"/>
    <col min="5897" max="5897" width="2.28515625" style="8" hidden="1"/>
    <col min="5898" max="5898" width="2.7109375" style="8" hidden="1"/>
    <col min="5899" max="5900" width="24.7109375" style="8" hidden="1"/>
    <col min="5901" max="5901" width="4.42578125" style="8" hidden="1"/>
    <col min="5902" max="5902" width="1.42578125" style="8" hidden="1"/>
    <col min="5903" max="5903" width="13.42578125" style="8" hidden="1"/>
    <col min="5904" max="5904" width="2.42578125" style="8" hidden="1"/>
    <col min="5905" max="5905" width="16.140625" style="8" hidden="1"/>
    <col min="5906" max="5906" width="5.7109375" style="8" hidden="1"/>
    <col min="5907" max="5907" width="12.7109375" style="8" hidden="1"/>
    <col min="5908" max="5908" width="3" style="8" hidden="1"/>
    <col min="5909" max="5909" width="12.7109375" style="8" hidden="1"/>
    <col min="5910" max="5910" width="3.28515625" style="8" hidden="1"/>
    <col min="5911" max="5911" width="12.7109375" style="8" hidden="1"/>
    <col min="5912" max="5912" width="4.85546875" style="8" hidden="1"/>
    <col min="5913" max="5913" width="12.7109375" style="8" hidden="1"/>
    <col min="5914" max="5914" width="8.140625" style="8" hidden="1"/>
    <col min="5915" max="5915" width="2.7109375" style="8" hidden="1"/>
    <col min="5916" max="5917" width="11.42578125" style="8" hidden="1"/>
    <col min="5918" max="5918" width="27.85546875" style="8" hidden="1"/>
    <col min="5919" max="6152" width="11.42578125" style="8" hidden="1"/>
    <col min="6153" max="6153" width="2.28515625" style="8" hidden="1"/>
    <col min="6154" max="6154" width="2.7109375" style="8" hidden="1"/>
    <col min="6155" max="6156" width="24.7109375" style="8" hidden="1"/>
    <col min="6157" max="6157" width="4.42578125" style="8" hidden="1"/>
    <col min="6158" max="6158" width="1.42578125" style="8" hidden="1"/>
    <col min="6159" max="6159" width="13.42578125" style="8" hidden="1"/>
    <col min="6160" max="6160" width="2.42578125" style="8" hidden="1"/>
    <col min="6161" max="6161" width="16.140625" style="8" hidden="1"/>
    <col min="6162" max="6162" width="5.7109375" style="8" hidden="1"/>
    <col min="6163" max="6163" width="12.7109375" style="8" hidden="1"/>
    <col min="6164" max="6164" width="3" style="8" hidden="1"/>
    <col min="6165" max="6165" width="12.7109375" style="8" hidden="1"/>
    <col min="6166" max="6166" width="3.28515625" style="8" hidden="1"/>
    <col min="6167" max="6167" width="12.7109375" style="8" hidden="1"/>
    <col min="6168" max="6168" width="4.85546875" style="8" hidden="1"/>
    <col min="6169" max="6169" width="12.7109375" style="8" hidden="1"/>
    <col min="6170" max="6170" width="8.140625" style="8" hidden="1"/>
    <col min="6171" max="6171" width="2.7109375" style="8" hidden="1"/>
    <col min="6172" max="6173" width="11.42578125" style="8" hidden="1"/>
    <col min="6174" max="6174" width="27.85546875" style="8" hidden="1"/>
    <col min="6175" max="6408" width="11.42578125" style="8" hidden="1"/>
    <col min="6409" max="6409" width="2.28515625" style="8" hidden="1"/>
    <col min="6410" max="6410" width="2.7109375" style="8" hidden="1"/>
    <col min="6411" max="6412" width="24.7109375" style="8" hidden="1"/>
    <col min="6413" max="6413" width="4.42578125" style="8" hidden="1"/>
    <col min="6414" max="6414" width="1.42578125" style="8" hidden="1"/>
    <col min="6415" max="6415" width="13.42578125" style="8" hidden="1"/>
    <col min="6416" max="6416" width="2.42578125" style="8" hidden="1"/>
    <col min="6417" max="6417" width="16.140625" style="8" hidden="1"/>
    <col min="6418" max="6418" width="5.7109375" style="8" hidden="1"/>
    <col min="6419" max="6419" width="12.7109375" style="8" hidden="1"/>
    <col min="6420" max="6420" width="3" style="8" hidden="1"/>
    <col min="6421" max="6421" width="12.7109375" style="8" hidden="1"/>
    <col min="6422" max="6422" width="3.28515625" style="8" hidden="1"/>
    <col min="6423" max="6423" width="12.7109375" style="8" hidden="1"/>
    <col min="6424" max="6424" width="4.85546875" style="8" hidden="1"/>
    <col min="6425" max="6425" width="12.7109375" style="8" hidden="1"/>
    <col min="6426" max="6426" width="8.140625" style="8" hidden="1"/>
    <col min="6427" max="6427" width="2.7109375" style="8" hidden="1"/>
    <col min="6428" max="6429" width="11.42578125" style="8" hidden="1"/>
    <col min="6430" max="6430" width="27.85546875" style="8" hidden="1"/>
    <col min="6431" max="6664" width="11.42578125" style="8" hidden="1"/>
    <col min="6665" max="6665" width="2.28515625" style="8" hidden="1"/>
    <col min="6666" max="6666" width="2.7109375" style="8" hidden="1"/>
    <col min="6667" max="6668" width="24.7109375" style="8" hidden="1"/>
    <col min="6669" max="6669" width="4.42578125" style="8" hidden="1"/>
    <col min="6670" max="6670" width="1.42578125" style="8" hidden="1"/>
    <col min="6671" max="6671" width="13.42578125" style="8" hidden="1"/>
    <col min="6672" max="6672" width="2.42578125" style="8" hidden="1"/>
    <col min="6673" max="6673" width="16.140625" style="8" hidden="1"/>
    <col min="6674" max="6674" width="5.7109375" style="8" hidden="1"/>
    <col min="6675" max="6675" width="12.7109375" style="8" hidden="1"/>
    <col min="6676" max="6676" width="3" style="8" hidden="1"/>
    <col min="6677" max="6677" width="12.7109375" style="8" hidden="1"/>
    <col min="6678" max="6678" width="3.28515625" style="8" hidden="1"/>
    <col min="6679" max="6679" width="12.7109375" style="8" hidden="1"/>
    <col min="6680" max="6680" width="4.85546875" style="8" hidden="1"/>
    <col min="6681" max="6681" width="12.7109375" style="8" hidden="1"/>
    <col min="6682" max="6682" width="8.140625" style="8" hidden="1"/>
    <col min="6683" max="6683" width="2.7109375" style="8" hidden="1"/>
    <col min="6684" max="6685" width="11.42578125" style="8" hidden="1"/>
    <col min="6686" max="6686" width="27.85546875" style="8" hidden="1"/>
    <col min="6687" max="6920" width="11.42578125" style="8" hidden="1"/>
    <col min="6921" max="6921" width="2.28515625" style="8" hidden="1"/>
    <col min="6922" max="6922" width="2.7109375" style="8" hidden="1"/>
    <col min="6923" max="6924" width="24.7109375" style="8" hidden="1"/>
    <col min="6925" max="6925" width="4.42578125" style="8" hidden="1"/>
    <col min="6926" max="6926" width="1.42578125" style="8" hidden="1"/>
    <col min="6927" max="6927" width="13.42578125" style="8" hidden="1"/>
    <col min="6928" max="6928" width="2.42578125" style="8" hidden="1"/>
    <col min="6929" max="6929" width="16.140625" style="8" hidden="1"/>
    <col min="6930" max="6930" width="5.7109375" style="8" hidden="1"/>
    <col min="6931" max="6931" width="12.7109375" style="8" hidden="1"/>
    <col min="6932" max="6932" width="3" style="8" hidden="1"/>
    <col min="6933" max="6933" width="12.7109375" style="8" hidden="1"/>
    <col min="6934" max="6934" width="3.28515625" style="8" hidden="1"/>
    <col min="6935" max="6935" width="12.7109375" style="8" hidden="1"/>
    <col min="6936" max="6936" width="4.85546875" style="8" hidden="1"/>
    <col min="6937" max="6937" width="12.7109375" style="8" hidden="1"/>
    <col min="6938" max="6938" width="8.140625" style="8" hidden="1"/>
    <col min="6939" max="6939" width="2.7109375" style="8" hidden="1"/>
    <col min="6940" max="6941" width="11.42578125" style="8" hidden="1"/>
    <col min="6942" max="6942" width="27.85546875" style="8" hidden="1"/>
    <col min="6943" max="7176" width="11.42578125" style="8" hidden="1"/>
    <col min="7177" max="7177" width="2.28515625" style="8" hidden="1"/>
    <col min="7178" max="7178" width="2.7109375" style="8" hidden="1"/>
    <col min="7179" max="7180" width="24.7109375" style="8" hidden="1"/>
    <col min="7181" max="7181" width="4.42578125" style="8" hidden="1"/>
    <col min="7182" max="7182" width="1.42578125" style="8" hidden="1"/>
    <col min="7183" max="7183" width="13.42578125" style="8" hidden="1"/>
    <col min="7184" max="7184" width="2.42578125" style="8" hidden="1"/>
    <col min="7185" max="7185" width="16.140625" style="8" hidden="1"/>
    <col min="7186" max="7186" width="5.7109375" style="8" hidden="1"/>
    <col min="7187" max="7187" width="12.7109375" style="8" hidden="1"/>
    <col min="7188" max="7188" width="3" style="8" hidden="1"/>
    <col min="7189" max="7189" width="12.7109375" style="8" hidden="1"/>
    <col min="7190" max="7190" width="3.28515625" style="8" hidden="1"/>
    <col min="7191" max="7191" width="12.7109375" style="8" hidden="1"/>
    <col min="7192" max="7192" width="4.85546875" style="8" hidden="1"/>
    <col min="7193" max="7193" width="12.7109375" style="8" hidden="1"/>
    <col min="7194" max="7194" width="8.140625" style="8" hidden="1"/>
    <col min="7195" max="7195" width="2.7109375" style="8" hidden="1"/>
    <col min="7196" max="7197" width="11.42578125" style="8" hidden="1"/>
    <col min="7198" max="7198" width="27.85546875" style="8" hidden="1"/>
    <col min="7199" max="7432" width="11.42578125" style="8" hidden="1"/>
    <col min="7433" max="7433" width="2.28515625" style="8" hidden="1"/>
    <col min="7434" max="7434" width="2.7109375" style="8" hidden="1"/>
    <col min="7435" max="7436" width="24.7109375" style="8" hidden="1"/>
    <col min="7437" max="7437" width="4.42578125" style="8" hidden="1"/>
    <col min="7438" max="7438" width="1.42578125" style="8" hidden="1"/>
    <col min="7439" max="7439" width="13.42578125" style="8" hidden="1"/>
    <col min="7440" max="7440" width="2.42578125" style="8" hidden="1"/>
    <col min="7441" max="7441" width="16.140625" style="8" hidden="1"/>
    <col min="7442" max="7442" width="5.7109375" style="8" hidden="1"/>
    <col min="7443" max="7443" width="12.7109375" style="8" hidden="1"/>
    <col min="7444" max="7444" width="3" style="8" hidden="1"/>
    <col min="7445" max="7445" width="12.7109375" style="8" hidden="1"/>
    <col min="7446" max="7446" width="3.28515625" style="8" hidden="1"/>
    <col min="7447" max="7447" width="12.7109375" style="8" hidden="1"/>
    <col min="7448" max="7448" width="4.85546875" style="8" hidden="1"/>
    <col min="7449" max="7449" width="12.7109375" style="8" hidden="1"/>
    <col min="7450" max="7450" width="8.140625" style="8" hidden="1"/>
    <col min="7451" max="7451" width="2.7109375" style="8" hidden="1"/>
    <col min="7452" max="7453" width="11.42578125" style="8" hidden="1"/>
    <col min="7454" max="7454" width="27.85546875" style="8" hidden="1"/>
    <col min="7455" max="7688" width="11.42578125" style="8" hidden="1"/>
    <col min="7689" max="7689" width="2.28515625" style="8" hidden="1"/>
    <col min="7690" max="7690" width="2.7109375" style="8" hidden="1"/>
    <col min="7691" max="7692" width="24.7109375" style="8" hidden="1"/>
    <col min="7693" max="7693" width="4.42578125" style="8" hidden="1"/>
    <col min="7694" max="7694" width="1.42578125" style="8" hidden="1"/>
    <col min="7695" max="7695" width="13.42578125" style="8" hidden="1"/>
    <col min="7696" max="7696" width="2.42578125" style="8" hidden="1"/>
    <col min="7697" max="7697" width="16.140625" style="8" hidden="1"/>
    <col min="7698" max="7698" width="5.7109375" style="8" hidden="1"/>
    <col min="7699" max="7699" width="12.7109375" style="8" hidden="1"/>
    <col min="7700" max="7700" width="3" style="8" hidden="1"/>
    <col min="7701" max="7701" width="12.7109375" style="8" hidden="1"/>
    <col min="7702" max="7702" width="3.28515625" style="8" hidden="1"/>
    <col min="7703" max="7703" width="12.7109375" style="8" hidden="1"/>
    <col min="7704" max="7704" width="4.85546875" style="8" hidden="1"/>
    <col min="7705" max="7705" width="12.7109375" style="8" hidden="1"/>
    <col min="7706" max="7706" width="8.140625" style="8" hidden="1"/>
    <col min="7707" max="7707" width="2.7109375" style="8" hidden="1"/>
    <col min="7708" max="7709" width="11.42578125" style="8" hidden="1"/>
    <col min="7710" max="7710" width="27.85546875" style="8" hidden="1"/>
    <col min="7711" max="7944" width="11.42578125" style="8" hidden="1"/>
    <col min="7945" max="7945" width="2.28515625" style="8" hidden="1"/>
    <col min="7946" max="7946" width="2.7109375" style="8" hidden="1"/>
    <col min="7947" max="7948" width="24.7109375" style="8" hidden="1"/>
    <col min="7949" max="7949" width="4.42578125" style="8" hidden="1"/>
    <col min="7950" max="7950" width="1.42578125" style="8" hidden="1"/>
    <col min="7951" max="7951" width="13.42578125" style="8" hidden="1"/>
    <col min="7952" max="7952" width="2.42578125" style="8" hidden="1"/>
    <col min="7953" max="7953" width="16.140625" style="8" hidden="1"/>
    <col min="7954" max="7954" width="5.7109375" style="8" hidden="1"/>
    <col min="7955" max="7955" width="12.7109375" style="8" hidden="1"/>
    <col min="7956" max="7956" width="3" style="8" hidden="1"/>
    <col min="7957" max="7957" width="12.7109375" style="8" hidden="1"/>
    <col min="7958" max="7958" width="3.28515625" style="8" hidden="1"/>
    <col min="7959" max="7959" width="12.7109375" style="8" hidden="1"/>
    <col min="7960" max="7960" width="4.85546875" style="8" hidden="1"/>
    <col min="7961" max="7961" width="12.7109375" style="8" hidden="1"/>
    <col min="7962" max="7962" width="8.140625" style="8" hidden="1"/>
    <col min="7963" max="7963" width="2.7109375" style="8" hidden="1"/>
    <col min="7964" max="7965" width="11.42578125" style="8" hidden="1"/>
    <col min="7966" max="7966" width="27.85546875" style="8" hidden="1"/>
    <col min="7967" max="8200" width="11.42578125" style="8" hidden="1"/>
    <col min="8201" max="8201" width="2.28515625" style="8" hidden="1"/>
    <col min="8202" max="8202" width="2.7109375" style="8" hidden="1"/>
    <col min="8203" max="8204" width="24.7109375" style="8" hidden="1"/>
    <col min="8205" max="8205" width="4.42578125" style="8" hidden="1"/>
    <col min="8206" max="8206" width="1.42578125" style="8" hidden="1"/>
    <col min="8207" max="8207" width="13.42578125" style="8" hidden="1"/>
    <col min="8208" max="8208" width="2.42578125" style="8" hidden="1"/>
    <col min="8209" max="8209" width="16.140625" style="8" hidden="1"/>
    <col min="8210" max="8210" width="5.7109375" style="8" hidden="1"/>
    <col min="8211" max="8211" width="12.7109375" style="8" hidden="1"/>
    <col min="8212" max="8212" width="3" style="8" hidden="1"/>
    <col min="8213" max="8213" width="12.7109375" style="8" hidden="1"/>
    <col min="8214" max="8214" width="3.28515625" style="8" hidden="1"/>
    <col min="8215" max="8215" width="12.7109375" style="8" hidden="1"/>
    <col min="8216" max="8216" width="4.85546875" style="8" hidden="1"/>
    <col min="8217" max="8217" width="12.7109375" style="8" hidden="1"/>
    <col min="8218" max="8218" width="8.140625" style="8" hidden="1"/>
    <col min="8219" max="8219" width="2.7109375" style="8" hidden="1"/>
    <col min="8220" max="8221" width="11.42578125" style="8" hidden="1"/>
    <col min="8222" max="8222" width="27.85546875" style="8" hidden="1"/>
    <col min="8223" max="8456" width="11.42578125" style="8" hidden="1"/>
    <col min="8457" max="8457" width="2.28515625" style="8" hidden="1"/>
    <col min="8458" max="8458" width="2.7109375" style="8" hidden="1"/>
    <col min="8459" max="8460" width="24.7109375" style="8" hidden="1"/>
    <col min="8461" max="8461" width="4.42578125" style="8" hidden="1"/>
    <col min="8462" max="8462" width="1.42578125" style="8" hidden="1"/>
    <col min="8463" max="8463" width="13.42578125" style="8" hidden="1"/>
    <col min="8464" max="8464" width="2.42578125" style="8" hidden="1"/>
    <col min="8465" max="8465" width="16.140625" style="8" hidden="1"/>
    <col min="8466" max="8466" width="5.7109375" style="8" hidden="1"/>
    <col min="8467" max="8467" width="12.7109375" style="8" hidden="1"/>
    <col min="8468" max="8468" width="3" style="8" hidden="1"/>
    <col min="8469" max="8469" width="12.7109375" style="8" hidden="1"/>
    <col min="8470" max="8470" width="3.28515625" style="8" hidden="1"/>
    <col min="8471" max="8471" width="12.7109375" style="8" hidden="1"/>
    <col min="8472" max="8472" width="4.85546875" style="8" hidden="1"/>
    <col min="8473" max="8473" width="12.7109375" style="8" hidden="1"/>
    <col min="8474" max="8474" width="8.140625" style="8" hidden="1"/>
    <col min="8475" max="8475" width="2.7109375" style="8" hidden="1"/>
    <col min="8476" max="8477" width="11.42578125" style="8" hidden="1"/>
    <col min="8478" max="8478" width="27.85546875" style="8" hidden="1"/>
    <col min="8479" max="8712" width="11.42578125" style="8" hidden="1"/>
    <col min="8713" max="8713" width="2.28515625" style="8" hidden="1"/>
    <col min="8714" max="8714" width="2.7109375" style="8" hidden="1"/>
    <col min="8715" max="8716" width="24.7109375" style="8" hidden="1"/>
    <col min="8717" max="8717" width="4.42578125" style="8" hidden="1"/>
    <col min="8718" max="8718" width="1.42578125" style="8" hidden="1"/>
    <col min="8719" max="8719" width="13.42578125" style="8" hidden="1"/>
    <col min="8720" max="8720" width="2.42578125" style="8" hidden="1"/>
    <col min="8721" max="8721" width="16.140625" style="8" hidden="1"/>
    <col min="8722" max="8722" width="5.7109375" style="8" hidden="1"/>
    <col min="8723" max="8723" width="12.7109375" style="8" hidden="1"/>
    <col min="8724" max="8724" width="3" style="8" hidden="1"/>
    <col min="8725" max="8725" width="12.7109375" style="8" hidden="1"/>
    <col min="8726" max="8726" width="3.28515625" style="8" hidden="1"/>
    <col min="8727" max="8727" width="12.7109375" style="8" hidden="1"/>
    <col min="8728" max="8728" width="4.85546875" style="8" hidden="1"/>
    <col min="8729" max="8729" width="12.7109375" style="8" hidden="1"/>
    <col min="8730" max="8730" width="8.140625" style="8" hidden="1"/>
    <col min="8731" max="8731" width="2.7109375" style="8" hidden="1"/>
    <col min="8732" max="8733" width="11.42578125" style="8" hidden="1"/>
    <col min="8734" max="8734" width="27.85546875" style="8" hidden="1"/>
    <col min="8735" max="8968" width="11.42578125" style="8" hidden="1"/>
    <col min="8969" max="8969" width="2.28515625" style="8" hidden="1"/>
    <col min="8970" max="8970" width="2.7109375" style="8" hidden="1"/>
    <col min="8971" max="8972" width="24.7109375" style="8" hidden="1"/>
    <col min="8973" max="8973" width="4.42578125" style="8" hidden="1"/>
    <col min="8974" max="8974" width="1.42578125" style="8" hidden="1"/>
    <col min="8975" max="8975" width="13.42578125" style="8" hidden="1"/>
    <col min="8976" max="8976" width="2.42578125" style="8" hidden="1"/>
    <col min="8977" max="8977" width="16.140625" style="8" hidden="1"/>
    <col min="8978" max="8978" width="5.7109375" style="8" hidden="1"/>
    <col min="8979" max="8979" width="12.7109375" style="8" hidden="1"/>
    <col min="8980" max="8980" width="3" style="8" hidden="1"/>
    <col min="8981" max="8981" width="12.7109375" style="8" hidden="1"/>
    <col min="8982" max="8982" width="3.28515625" style="8" hidden="1"/>
    <col min="8983" max="8983" width="12.7109375" style="8" hidden="1"/>
    <col min="8984" max="8984" width="4.85546875" style="8" hidden="1"/>
    <col min="8985" max="8985" width="12.7109375" style="8" hidden="1"/>
    <col min="8986" max="8986" width="8.140625" style="8" hidden="1"/>
    <col min="8987" max="8987" width="2.7109375" style="8" hidden="1"/>
    <col min="8988" max="8989" width="11.42578125" style="8" hidden="1"/>
    <col min="8990" max="8990" width="27.85546875" style="8" hidden="1"/>
    <col min="8991" max="9224" width="11.42578125" style="8" hidden="1"/>
    <col min="9225" max="9225" width="2.28515625" style="8" hidden="1"/>
    <col min="9226" max="9226" width="2.7109375" style="8" hidden="1"/>
    <col min="9227" max="9228" width="24.7109375" style="8" hidden="1"/>
    <col min="9229" max="9229" width="4.42578125" style="8" hidden="1"/>
    <col min="9230" max="9230" width="1.42578125" style="8" hidden="1"/>
    <col min="9231" max="9231" width="13.42578125" style="8" hidden="1"/>
    <col min="9232" max="9232" width="2.42578125" style="8" hidden="1"/>
    <col min="9233" max="9233" width="16.140625" style="8" hidden="1"/>
    <col min="9234" max="9234" width="5.7109375" style="8" hidden="1"/>
    <col min="9235" max="9235" width="12.7109375" style="8" hidden="1"/>
    <col min="9236" max="9236" width="3" style="8" hidden="1"/>
    <col min="9237" max="9237" width="12.7109375" style="8" hidden="1"/>
    <col min="9238" max="9238" width="3.28515625" style="8" hidden="1"/>
    <col min="9239" max="9239" width="12.7109375" style="8" hidden="1"/>
    <col min="9240" max="9240" width="4.85546875" style="8" hidden="1"/>
    <col min="9241" max="9241" width="12.7109375" style="8" hidden="1"/>
    <col min="9242" max="9242" width="8.140625" style="8" hidden="1"/>
    <col min="9243" max="9243" width="2.7109375" style="8" hidden="1"/>
    <col min="9244" max="9245" width="11.42578125" style="8" hidden="1"/>
    <col min="9246" max="9246" width="27.85546875" style="8" hidden="1"/>
    <col min="9247" max="9480" width="11.42578125" style="8" hidden="1"/>
    <col min="9481" max="9481" width="2.28515625" style="8" hidden="1"/>
    <col min="9482" max="9482" width="2.7109375" style="8" hidden="1"/>
    <col min="9483" max="9484" width="24.7109375" style="8" hidden="1"/>
    <col min="9485" max="9485" width="4.42578125" style="8" hidden="1"/>
    <col min="9486" max="9486" width="1.42578125" style="8" hidden="1"/>
    <col min="9487" max="9487" width="13.42578125" style="8" hidden="1"/>
    <col min="9488" max="9488" width="2.42578125" style="8" hidden="1"/>
    <col min="9489" max="9489" width="16.140625" style="8" hidden="1"/>
    <col min="9490" max="9490" width="5.7109375" style="8" hidden="1"/>
    <col min="9491" max="9491" width="12.7109375" style="8" hidden="1"/>
    <col min="9492" max="9492" width="3" style="8" hidden="1"/>
    <col min="9493" max="9493" width="12.7109375" style="8" hidden="1"/>
    <col min="9494" max="9494" width="3.28515625" style="8" hidden="1"/>
    <col min="9495" max="9495" width="12.7109375" style="8" hidden="1"/>
    <col min="9496" max="9496" width="4.85546875" style="8" hidden="1"/>
    <col min="9497" max="9497" width="12.7109375" style="8" hidden="1"/>
    <col min="9498" max="9498" width="8.140625" style="8" hidden="1"/>
    <col min="9499" max="9499" width="2.7109375" style="8" hidden="1"/>
    <col min="9500" max="9501" width="11.42578125" style="8" hidden="1"/>
    <col min="9502" max="9502" width="27.85546875" style="8" hidden="1"/>
    <col min="9503" max="9736" width="11.42578125" style="8" hidden="1"/>
    <col min="9737" max="9737" width="2.28515625" style="8" hidden="1"/>
    <col min="9738" max="9738" width="2.7109375" style="8" hidden="1"/>
    <col min="9739" max="9740" width="24.7109375" style="8" hidden="1"/>
    <col min="9741" max="9741" width="4.42578125" style="8" hidden="1"/>
    <col min="9742" max="9742" width="1.42578125" style="8" hidden="1"/>
    <col min="9743" max="9743" width="13.42578125" style="8" hidden="1"/>
    <col min="9744" max="9744" width="2.42578125" style="8" hidden="1"/>
    <col min="9745" max="9745" width="16.140625" style="8" hidden="1"/>
    <col min="9746" max="9746" width="5.7109375" style="8" hidden="1"/>
    <col min="9747" max="9747" width="12.7109375" style="8" hidden="1"/>
    <col min="9748" max="9748" width="3" style="8" hidden="1"/>
    <col min="9749" max="9749" width="12.7109375" style="8" hidden="1"/>
    <col min="9750" max="9750" width="3.28515625" style="8" hidden="1"/>
    <col min="9751" max="9751" width="12.7109375" style="8" hidden="1"/>
    <col min="9752" max="9752" width="4.85546875" style="8" hidden="1"/>
    <col min="9753" max="9753" width="12.7109375" style="8" hidden="1"/>
    <col min="9754" max="9754" width="8.140625" style="8" hidden="1"/>
    <col min="9755" max="9755" width="2.7109375" style="8" hidden="1"/>
    <col min="9756" max="9757" width="11.42578125" style="8" hidden="1"/>
    <col min="9758" max="9758" width="27.85546875" style="8" hidden="1"/>
    <col min="9759" max="9992" width="11.42578125" style="8" hidden="1"/>
    <col min="9993" max="9993" width="2.28515625" style="8" hidden="1"/>
    <col min="9994" max="9994" width="2.7109375" style="8" hidden="1"/>
    <col min="9995" max="9996" width="24.7109375" style="8" hidden="1"/>
    <col min="9997" max="9997" width="4.42578125" style="8" hidden="1"/>
    <col min="9998" max="9998" width="1.42578125" style="8" hidden="1"/>
    <col min="9999" max="9999" width="13.42578125" style="8" hidden="1"/>
    <col min="10000" max="10000" width="2.42578125" style="8" hidden="1"/>
    <col min="10001" max="10001" width="16.140625" style="8" hidden="1"/>
    <col min="10002" max="10002" width="5.7109375" style="8" hidden="1"/>
    <col min="10003" max="10003" width="12.7109375" style="8" hidden="1"/>
    <col min="10004" max="10004" width="3" style="8" hidden="1"/>
    <col min="10005" max="10005" width="12.7109375" style="8" hidden="1"/>
    <col min="10006" max="10006" width="3.28515625" style="8" hidden="1"/>
    <col min="10007" max="10007" width="12.7109375" style="8" hidden="1"/>
    <col min="10008" max="10008" width="4.85546875" style="8" hidden="1"/>
    <col min="10009" max="10009" width="12.7109375" style="8" hidden="1"/>
    <col min="10010" max="10010" width="8.140625" style="8" hidden="1"/>
    <col min="10011" max="10011" width="2.7109375" style="8" hidden="1"/>
    <col min="10012" max="10013" width="11.42578125" style="8" hidden="1"/>
    <col min="10014" max="10014" width="27.85546875" style="8" hidden="1"/>
    <col min="10015" max="10248" width="11.42578125" style="8" hidden="1"/>
    <col min="10249" max="10249" width="2.28515625" style="8" hidden="1"/>
    <col min="10250" max="10250" width="2.7109375" style="8" hidden="1"/>
    <col min="10251" max="10252" width="24.7109375" style="8" hidden="1"/>
    <col min="10253" max="10253" width="4.42578125" style="8" hidden="1"/>
    <col min="10254" max="10254" width="1.42578125" style="8" hidden="1"/>
    <col min="10255" max="10255" width="13.42578125" style="8" hidden="1"/>
    <col min="10256" max="10256" width="2.42578125" style="8" hidden="1"/>
    <col min="10257" max="10257" width="16.140625" style="8" hidden="1"/>
    <col min="10258" max="10258" width="5.7109375" style="8" hidden="1"/>
    <col min="10259" max="10259" width="12.7109375" style="8" hidden="1"/>
    <col min="10260" max="10260" width="3" style="8" hidden="1"/>
    <col min="10261" max="10261" width="12.7109375" style="8" hidden="1"/>
    <col min="10262" max="10262" width="3.28515625" style="8" hidden="1"/>
    <col min="10263" max="10263" width="12.7109375" style="8" hidden="1"/>
    <col min="10264" max="10264" width="4.85546875" style="8" hidden="1"/>
    <col min="10265" max="10265" width="12.7109375" style="8" hidden="1"/>
    <col min="10266" max="10266" width="8.140625" style="8" hidden="1"/>
    <col min="10267" max="10267" width="2.7109375" style="8" hidden="1"/>
    <col min="10268" max="10269" width="11.42578125" style="8" hidden="1"/>
    <col min="10270" max="10270" width="27.85546875" style="8" hidden="1"/>
    <col min="10271" max="10504" width="11.42578125" style="8" hidden="1"/>
    <col min="10505" max="10505" width="2.28515625" style="8" hidden="1"/>
    <col min="10506" max="10506" width="2.7109375" style="8" hidden="1"/>
    <col min="10507" max="10508" width="24.7109375" style="8" hidden="1"/>
    <col min="10509" max="10509" width="4.42578125" style="8" hidden="1"/>
    <col min="10510" max="10510" width="1.42578125" style="8" hidden="1"/>
    <col min="10511" max="10511" width="13.42578125" style="8" hidden="1"/>
    <col min="10512" max="10512" width="2.42578125" style="8" hidden="1"/>
    <col min="10513" max="10513" width="16.140625" style="8" hidden="1"/>
    <col min="10514" max="10514" width="5.7109375" style="8" hidden="1"/>
    <col min="10515" max="10515" width="12.7109375" style="8" hidden="1"/>
    <col min="10516" max="10516" width="3" style="8" hidden="1"/>
    <col min="10517" max="10517" width="12.7109375" style="8" hidden="1"/>
    <col min="10518" max="10518" width="3.28515625" style="8" hidden="1"/>
    <col min="10519" max="10519" width="12.7109375" style="8" hidden="1"/>
    <col min="10520" max="10520" width="4.85546875" style="8" hidden="1"/>
    <col min="10521" max="10521" width="12.7109375" style="8" hidden="1"/>
    <col min="10522" max="10522" width="8.140625" style="8" hidden="1"/>
    <col min="10523" max="10523" width="2.7109375" style="8" hidden="1"/>
    <col min="10524" max="10525" width="11.42578125" style="8" hidden="1"/>
    <col min="10526" max="10526" width="27.85546875" style="8" hidden="1"/>
    <col min="10527" max="10760" width="11.42578125" style="8" hidden="1"/>
    <col min="10761" max="10761" width="2.28515625" style="8" hidden="1"/>
    <col min="10762" max="10762" width="2.7109375" style="8" hidden="1"/>
    <col min="10763" max="10764" width="24.7109375" style="8" hidden="1"/>
    <col min="10765" max="10765" width="4.42578125" style="8" hidden="1"/>
    <col min="10766" max="10766" width="1.42578125" style="8" hidden="1"/>
    <col min="10767" max="10767" width="13.42578125" style="8" hidden="1"/>
    <col min="10768" max="10768" width="2.42578125" style="8" hidden="1"/>
    <col min="10769" max="10769" width="16.140625" style="8" hidden="1"/>
    <col min="10770" max="10770" width="5.7109375" style="8" hidden="1"/>
    <col min="10771" max="10771" width="12.7109375" style="8" hidden="1"/>
    <col min="10772" max="10772" width="3" style="8" hidden="1"/>
    <col min="10773" max="10773" width="12.7109375" style="8" hidden="1"/>
    <col min="10774" max="10774" width="3.28515625" style="8" hidden="1"/>
    <col min="10775" max="10775" width="12.7109375" style="8" hidden="1"/>
    <col min="10776" max="10776" width="4.85546875" style="8" hidden="1"/>
    <col min="10777" max="10777" width="12.7109375" style="8" hidden="1"/>
    <col min="10778" max="10778" width="8.140625" style="8" hidden="1"/>
    <col min="10779" max="10779" width="2.7109375" style="8" hidden="1"/>
    <col min="10780" max="10781" width="11.42578125" style="8" hidden="1"/>
    <col min="10782" max="10782" width="27.85546875" style="8" hidden="1"/>
    <col min="10783" max="11016" width="11.42578125" style="8" hidden="1"/>
    <col min="11017" max="11017" width="2.28515625" style="8" hidden="1"/>
    <col min="11018" max="11018" width="2.7109375" style="8" hidden="1"/>
    <col min="11019" max="11020" width="24.7109375" style="8" hidden="1"/>
    <col min="11021" max="11021" width="4.42578125" style="8" hidden="1"/>
    <col min="11022" max="11022" width="1.42578125" style="8" hidden="1"/>
    <col min="11023" max="11023" width="13.42578125" style="8" hidden="1"/>
    <col min="11024" max="11024" width="2.42578125" style="8" hidden="1"/>
    <col min="11025" max="11025" width="16.140625" style="8" hidden="1"/>
    <col min="11026" max="11026" width="5.7109375" style="8" hidden="1"/>
    <col min="11027" max="11027" width="12.7109375" style="8" hidden="1"/>
    <col min="11028" max="11028" width="3" style="8" hidden="1"/>
    <col min="11029" max="11029" width="12.7109375" style="8" hidden="1"/>
    <col min="11030" max="11030" width="3.28515625" style="8" hidden="1"/>
    <col min="11031" max="11031" width="12.7109375" style="8" hidden="1"/>
    <col min="11032" max="11032" width="4.85546875" style="8" hidden="1"/>
    <col min="11033" max="11033" width="12.7109375" style="8" hidden="1"/>
    <col min="11034" max="11034" width="8.140625" style="8" hidden="1"/>
    <col min="11035" max="11035" width="2.7109375" style="8" hidden="1"/>
    <col min="11036" max="11037" width="11.42578125" style="8" hidden="1"/>
    <col min="11038" max="11038" width="27.85546875" style="8" hidden="1"/>
    <col min="11039" max="11272" width="11.42578125" style="8" hidden="1"/>
    <col min="11273" max="11273" width="2.28515625" style="8" hidden="1"/>
    <col min="11274" max="11274" width="2.7109375" style="8" hidden="1"/>
    <col min="11275" max="11276" width="24.7109375" style="8" hidden="1"/>
    <col min="11277" max="11277" width="4.42578125" style="8" hidden="1"/>
    <col min="11278" max="11278" width="1.42578125" style="8" hidden="1"/>
    <col min="11279" max="11279" width="13.42578125" style="8" hidden="1"/>
    <col min="11280" max="11280" width="2.42578125" style="8" hidden="1"/>
    <col min="11281" max="11281" width="16.140625" style="8" hidden="1"/>
    <col min="11282" max="11282" width="5.7109375" style="8" hidden="1"/>
    <col min="11283" max="11283" width="12.7109375" style="8" hidden="1"/>
    <col min="11284" max="11284" width="3" style="8" hidden="1"/>
    <col min="11285" max="11285" width="12.7109375" style="8" hidden="1"/>
    <col min="11286" max="11286" width="3.28515625" style="8" hidden="1"/>
    <col min="11287" max="11287" width="12.7109375" style="8" hidden="1"/>
    <col min="11288" max="11288" width="4.85546875" style="8" hidden="1"/>
    <col min="11289" max="11289" width="12.7109375" style="8" hidden="1"/>
    <col min="11290" max="11290" width="8.140625" style="8" hidden="1"/>
    <col min="11291" max="11291" width="2.7109375" style="8" hidden="1"/>
    <col min="11292" max="11293" width="11.42578125" style="8" hidden="1"/>
    <col min="11294" max="11294" width="27.85546875" style="8" hidden="1"/>
    <col min="11295" max="11528" width="11.42578125" style="8" hidden="1"/>
    <col min="11529" max="11529" width="2.28515625" style="8" hidden="1"/>
    <col min="11530" max="11530" width="2.7109375" style="8" hidden="1"/>
    <col min="11531" max="11532" width="24.7109375" style="8" hidden="1"/>
    <col min="11533" max="11533" width="4.42578125" style="8" hidden="1"/>
    <col min="11534" max="11534" width="1.42578125" style="8" hidden="1"/>
    <col min="11535" max="11535" width="13.42578125" style="8" hidden="1"/>
    <col min="11536" max="11536" width="2.42578125" style="8" hidden="1"/>
    <col min="11537" max="11537" width="16.140625" style="8" hidden="1"/>
    <col min="11538" max="11538" width="5.7109375" style="8" hidden="1"/>
    <col min="11539" max="11539" width="12.7109375" style="8" hidden="1"/>
    <col min="11540" max="11540" width="3" style="8" hidden="1"/>
    <col min="11541" max="11541" width="12.7109375" style="8" hidden="1"/>
    <col min="11542" max="11542" width="3.28515625" style="8" hidden="1"/>
    <col min="11543" max="11543" width="12.7109375" style="8" hidden="1"/>
    <col min="11544" max="11544" width="4.85546875" style="8" hidden="1"/>
    <col min="11545" max="11545" width="12.7109375" style="8" hidden="1"/>
    <col min="11546" max="11546" width="8.140625" style="8" hidden="1"/>
    <col min="11547" max="11547" width="2.7109375" style="8" hidden="1"/>
    <col min="11548" max="11549" width="11.42578125" style="8" hidden="1"/>
    <col min="11550" max="11550" width="27.85546875" style="8" hidden="1"/>
    <col min="11551" max="11784" width="11.42578125" style="8" hidden="1"/>
    <col min="11785" max="11785" width="2.28515625" style="8" hidden="1"/>
    <col min="11786" max="11786" width="2.7109375" style="8" hidden="1"/>
    <col min="11787" max="11788" width="24.7109375" style="8" hidden="1"/>
    <col min="11789" max="11789" width="4.42578125" style="8" hidden="1"/>
    <col min="11790" max="11790" width="1.42578125" style="8" hidden="1"/>
    <col min="11791" max="11791" width="13.42578125" style="8" hidden="1"/>
    <col min="11792" max="11792" width="2.42578125" style="8" hidden="1"/>
    <col min="11793" max="11793" width="16.140625" style="8" hidden="1"/>
    <col min="11794" max="11794" width="5.7109375" style="8" hidden="1"/>
    <col min="11795" max="11795" width="12.7109375" style="8" hidden="1"/>
    <col min="11796" max="11796" width="3" style="8" hidden="1"/>
    <col min="11797" max="11797" width="12.7109375" style="8" hidden="1"/>
    <col min="11798" max="11798" width="3.28515625" style="8" hidden="1"/>
    <col min="11799" max="11799" width="12.7109375" style="8" hidden="1"/>
    <col min="11800" max="11800" width="4.85546875" style="8" hidden="1"/>
    <col min="11801" max="11801" width="12.7109375" style="8" hidden="1"/>
    <col min="11802" max="11802" width="8.140625" style="8" hidden="1"/>
    <col min="11803" max="11803" width="2.7109375" style="8" hidden="1"/>
    <col min="11804" max="11805" width="11.42578125" style="8" hidden="1"/>
    <col min="11806" max="11806" width="27.85546875" style="8" hidden="1"/>
    <col min="11807" max="12040" width="11.42578125" style="8" hidden="1"/>
    <col min="12041" max="12041" width="2.28515625" style="8" hidden="1"/>
    <col min="12042" max="12042" width="2.7109375" style="8" hidden="1"/>
    <col min="12043" max="12044" width="24.7109375" style="8" hidden="1"/>
    <col min="12045" max="12045" width="4.42578125" style="8" hidden="1"/>
    <col min="12046" max="12046" width="1.42578125" style="8" hidden="1"/>
    <col min="12047" max="12047" width="13.42578125" style="8" hidden="1"/>
    <col min="12048" max="12048" width="2.42578125" style="8" hidden="1"/>
    <col min="12049" max="12049" width="16.140625" style="8" hidden="1"/>
    <col min="12050" max="12050" width="5.7109375" style="8" hidden="1"/>
    <col min="12051" max="12051" width="12.7109375" style="8" hidden="1"/>
    <col min="12052" max="12052" width="3" style="8" hidden="1"/>
    <col min="12053" max="12053" width="12.7109375" style="8" hidden="1"/>
    <col min="12054" max="12054" width="3.28515625" style="8" hidden="1"/>
    <col min="12055" max="12055" width="12.7109375" style="8" hidden="1"/>
    <col min="12056" max="12056" width="4.85546875" style="8" hidden="1"/>
    <col min="12057" max="12057" width="12.7109375" style="8" hidden="1"/>
    <col min="12058" max="12058" width="8.140625" style="8" hidden="1"/>
    <col min="12059" max="12059" width="2.7109375" style="8" hidden="1"/>
    <col min="12060" max="12061" width="11.42578125" style="8" hidden="1"/>
    <col min="12062" max="12062" width="27.85546875" style="8" hidden="1"/>
    <col min="12063" max="12296" width="11.42578125" style="8" hidden="1"/>
    <col min="12297" max="12297" width="2.28515625" style="8" hidden="1"/>
    <col min="12298" max="12298" width="2.7109375" style="8" hidden="1"/>
    <col min="12299" max="12300" width="24.7109375" style="8" hidden="1"/>
    <col min="12301" max="12301" width="4.42578125" style="8" hidden="1"/>
    <col min="12302" max="12302" width="1.42578125" style="8" hidden="1"/>
    <col min="12303" max="12303" width="13.42578125" style="8" hidden="1"/>
    <col min="12304" max="12304" width="2.42578125" style="8" hidden="1"/>
    <col min="12305" max="12305" width="16.140625" style="8" hidden="1"/>
    <col min="12306" max="12306" width="5.7109375" style="8" hidden="1"/>
    <col min="12307" max="12307" width="12.7109375" style="8" hidden="1"/>
    <col min="12308" max="12308" width="3" style="8" hidden="1"/>
    <col min="12309" max="12309" width="12.7109375" style="8" hidden="1"/>
    <col min="12310" max="12310" width="3.28515625" style="8" hidden="1"/>
    <col min="12311" max="12311" width="12.7109375" style="8" hidden="1"/>
    <col min="12312" max="12312" width="4.85546875" style="8" hidden="1"/>
    <col min="12313" max="12313" width="12.7109375" style="8" hidden="1"/>
    <col min="12314" max="12314" width="8.140625" style="8" hidden="1"/>
    <col min="12315" max="12315" width="2.7109375" style="8" hidden="1"/>
    <col min="12316" max="12317" width="11.42578125" style="8" hidden="1"/>
    <col min="12318" max="12318" width="27.85546875" style="8" hidden="1"/>
    <col min="12319" max="12552" width="11.42578125" style="8" hidden="1"/>
    <col min="12553" max="12553" width="2.28515625" style="8" hidden="1"/>
    <col min="12554" max="12554" width="2.7109375" style="8" hidden="1"/>
    <col min="12555" max="12556" width="24.7109375" style="8" hidden="1"/>
    <col min="12557" max="12557" width="4.42578125" style="8" hidden="1"/>
    <col min="12558" max="12558" width="1.42578125" style="8" hidden="1"/>
    <col min="12559" max="12559" width="13.42578125" style="8" hidden="1"/>
    <col min="12560" max="12560" width="2.42578125" style="8" hidden="1"/>
    <col min="12561" max="12561" width="16.140625" style="8" hidden="1"/>
    <col min="12562" max="12562" width="5.7109375" style="8" hidden="1"/>
    <col min="12563" max="12563" width="12.7109375" style="8" hidden="1"/>
    <col min="12564" max="12564" width="3" style="8" hidden="1"/>
    <col min="12565" max="12565" width="12.7109375" style="8" hidden="1"/>
    <col min="12566" max="12566" width="3.28515625" style="8" hidden="1"/>
    <col min="12567" max="12567" width="12.7109375" style="8" hidden="1"/>
    <col min="12568" max="12568" width="4.85546875" style="8" hidden="1"/>
    <col min="12569" max="12569" width="12.7109375" style="8" hidden="1"/>
    <col min="12570" max="12570" width="8.140625" style="8" hidden="1"/>
    <col min="12571" max="12571" width="2.7109375" style="8" hidden="1"/>
    <col min="12572" max="12573" width="11.42578125" style="8" hidden="1"/>
    <col min="12574" max="12574" width="27.85546875" style="8" hidden="1"/>
    <col min="12575" max="12808" width="11.42578125" style="8" hidden="1"/>
    <col min="12809" max="12809" width="2.28515625" style="8" hidden="1"/>
    <col min="12810" max="12810" width="2.7109375" style="8" hidden="1"/>
    <col min="12811" max="12812" width="24.7109375" style="8" hidden="1"/>
    <col min="12813" max="12813" width="4.42578125" style="8" hidden="1"/>
    <col min="12814" max="12814" width="1.42578125" style="8" hidden="1"/>
    <col min="12815" max="12815" width="13.42578125" style="8" hidden="1"/>
    <col min="12816" max="12816" width="2.42578125" style="8" hidden="1"/>
    <col min="12817" max="12817" width="16.140625" style="8" hidden="1"/>
    <col min="12818" max="12818" width="5.7109375" style="8" hidden="1"/>
    <col min="12819" max="12819" width="12.7109375" style="8" hidden="1"/>
    <col min="12820" max="12820" width="3" style="8" hidden="1"/>
    <col min="12821" max="12821" width="12.7109375" style="8" hidden="1"/>
    <col min="12822" max="12822" width="3.28515625" style="8" hidden="1"/>
    <col min="12823" max="12823" width="12.7109375" style="8" hidden="1"/>
    <col min="12824" max="12824" width="4.85546875" style="8" hidden="1"/>
    <col min="12825" max="12825" width="12.7109375" style="8" hidden="1"/>
    <col min="12826" max="12826" width="8.140625" style="8" hidden="1"/>
    <col min="12827" max="12827" width="2.7109375" style="8" hidden="1"/>
    <col min="12828" max="12829" width="11.42578125" style="8" hidden="1"/>
    <col min="12830" max="12830" width="27.85546875" style="8" hidden="1"/>
    <col min="12831" max="13064" width="11.42578125" style="8" hidden="1"/>
    <col min="13065" max="13065" width="2.28515625" style="8" hidden="1"/>
    <col min="13066" max="13066" width="2.7109375" style="8" hidden="1"/>
    <col min="13067" max="13068" width="24.7109375" style="8" hidden="1"/>
    <col min="13069" max="13069" width="4.42578125" style="8" hidden="1"/>
    <col min="13070" max="13070" width="1.42578125" style="8" hidden="1"/>
    <col min="13071" max="13071" width="13.42578125" style="8" hidden="1"/>
    <col min="13072" max="13072" width="2.42578125" style="8" hidden="1"/>
    <col min="13073" max="13073" width="16.140625" style="8" hidden="1"/>
    <col min="13074" max="13074" width="5.7109375" style="8" hidden="1"/>
    <col min="13075" max="13075" width="12.7109375" style="8" hidden="1"/>
    <col min="13076" max="13076" width="3" style="8" hidden="1"/>
    <col min="13077" max="13077" width="12.7109375" style="8" hidden="1"/>
    <col min="13078" max="13078" width="3.28515625" style="8" hidden="1"/>
    <col min="13079" max="13079" width="12.7109375" style="8" hidden="1"/>
    <col min="13080" max="13080" width="4.85546875" style="8" hidden="1"/>
    <col min="13081" max="13081" width="12.7109375" style="8" hidden="1"/>
    <col min="13082" max="13082" width="8.140625" style="8" hidden="1"/>
    <col min="13083" max="13083" width="2.7109375" style="8" hidden="1"/>
    <col min="13084" max="13085" width="11.42578125" style="8" hidden="1"/>
    <col min="13086" max="13086" width="27.85546875" style="8" hidden="1"/>
    <col min="13087" max="13320" width="11.42578125" style="8" hidden="1"/>
    <col min="13321" max="13321" width="2.28515625" style="8" hidden="1"/>
    <col min="13322" max="13322" width="2.7109375" style="8" hidden="1"/>
    <col min="13323" max="13324" width="24.7109375" style="8" hidden="1"/>
    <col min="13325" max="13325" width="4.42578125" style="8" hidden="1"/>
    <col min="13326" max="13326" width="1.42578125" style="8" hidden="1"/>
    <col min="13327" max="13327" width="13.42578125" style="8" hidden="1"/>
    <col min="13328" max="13328" width="2.42578125" style="8" hidden="1"/>
    <col min="13329" max="13329" width="16.140625" style="8" hidden="1"/>
    <col min="13330" max="13330" width="5.7109375" style="8" hidden="1"/>
    <col min="13331" max="13331" width="12.7109375" style="8" hidden="1"/>
    <col min="13332" max="13332" width="3" style="8" hidden="1"/>
    <col min="13333" max="13333" width="12.7109375" style="8" hidden="1"/>
    <col min="13334" max="13334" width="3.28515625" style="8" hidden="1"/>
    <col min="13335" max="13335" width="12.7109375" style="8" hidden="1"/>
    <col min="13336" max="13336" width="4.85546875" style="8" hidden="1"/>
    <col min="13337" max="13337" width="12.7109375" style="8" hidden="1"/>
    <col min="13338" max="13338" width="8.140625" style="8" hidden="1"/>
    <col min="13339" max="13339" width="2.7109375" style="8" hidden="1"/>
    <col min="13340" max="13341" width="11.42578125" style="8" hidden="1"/>
    <col min="13342" max="13342" width="27.85546875" style="8" hidden="1"/>
    <col min="13343" max="13576" width="11.42578125" style="8" hidden="1"/>
    <col min="13577" max="13577" width="2.28515625" style="8" hidden="1"/>
    <col min="13578" max="13578" width="2.7109375" style="8" hidden="1"/>
    <col min="13579" max="13580" width="24.7109375" style="8" hidden="1"/>
    <col min="13581" max="13581" width="4.42578125" style="8" hidden="1"/>
    <col min="13582" max="13582" width="1.42578125" style="8" hidden="1"/>
    <col min="13583" max="13583" width="13.42578125" style="8" hidden="1"/>
    <col min="13584" max="13584" width="2.42578125" style="8" hidden="1"/>
    <col min="13585" max="13585" width="16.140625" style="8" hidden="1"/>
    <col min="13586" max="13586" width="5.7109375" style="8" hidden="1"/>
    <col min="13587" max="13587" width="12.7109375" style="8" hidden="1"/>
    <col min="13588" max="13588" width="3" style="8" hidden="1"/>
    <col min="13589" max="13589" width="12.7109375" style="8" hidden="1"/>
    <col min="13590" max="13590" width="3.28515625" style="8" hidden="1"/>
    <col min="13591" max="13591" width="12.7109375" style="8" hidden="1"/>
    <col min="13592" max="13592" width="4.85546875" style="8" hidden="1"/>
    <col min="13593" max="13593" width="12.7109375" style="8" hidden="1"/>
    <col min="13594" max="13594" width="8.140625" style="8" hidden="1"/>
    <col min="13595" max="13595" width="2.7109375" style="8" hidden="1"/>
    <col min="13596" max="13597" width="11.42578125" style="8" hidden="1"/>
    <col min="13598" max="13598" width="27.85546875" style="8" hidden="1"/>
    <col min="13599" max="13832" width="11.42578125" style="8" hidden="1"/>
    <col min="13833" max="13833" width="2.28515625" style="8" hidden="1"/>
    <col min="13834" max="13834" width="2.7109375" style="8" hidden="1"/>
    <col min="13835" max="13836" width="24.7109375" style="8" hidden="1"/>
    <col min="13837" max="13837" width="4.42578125" style="8" hidden="1"/>
    <col min="13838" max="13838" width="1.42578125" style="8" hidden="1"/>
    <col min="13839" max="13839" width="13.42578125" style="8" hidden="1"/>
    <col min="13840" max="13840" width="2.42578125" style="8" hidden="1"/>
    <col min="13841" max="13841" width="16.140625" style="8" hidden="1"/>
    <col min="13842" max="13842" width="5.7109375" style="8" hidden="1"/>
    <col min="13843" max="13843" width="12.7109375" style="8" hidden="1"/>
    <col min="13844" max="13844" width="3" style="8" hidden="1"/>
    <col min="13845" max="13845" width="12.7109375" style="8" hidden="1"/>
    <col min="13846" max="13846" width="3.28515625" style="8" hidden="1"/>
    <col min="13847" max="13847" width="12.7109375" style="8" hidden="1"/>
    <col min="13848" max="13848" width="4.85546875" style="8" hidden="1"/>
    <col min="13849" max="13849" width="12.7109375" style="8" hidden="1"/>
    <col min="13850" max="13850" width="8.140625" style="8" hidden="1"/>
    <col min="13851" max="13851" width="2.7109375" style="8" hidden="1"/>
    <col min="13852" max="13853" width="11.42578125" style="8" hidden="1"/>
    <col min="13854" max="13854" width="27.85546875" style="8" hidden="1"/>
    <col min="13855" max="14088" width="11.42578125" style="8" hidden="1"/>
    <col min="14089" max="14089" width="2.28515625" style="8" hidden="1"/>
    <col min="14090" max="14090" width="2.7109375" style="8" hidden="1"/>
    <col min="14091" max="14092" width="24.7109375" style="8" hidden="1"/>
    <col min="14093" max="14093" width="4.42578125" style="8" hidden="1"/>
    <col min="14094" max="14094" width="1.42578125" style="8" hidden="1"/>
    <col min="14095" max="14095" width="13.42578125" style="8" hidden="1"/>
    <col min="14096" max="14096" width="2.42578125" style="8" hidden="1"/>
    <col min="14097" max="14097" width="16.140625" style="8" hidden="1"/>
    <col min="14098" max="14098" width="5.7109375" style="8" hidden="1"/>
    <col min="14099" max="14099" width="12.7109375" style="8" hidden="1"/>
    <col min="14100" max="14100" width="3" style="8" hidden="1"/>
    <col min="14101" max="14101" width="12.7109375" style="8" hidden="1"/>
    <col min="14102" max="14102" width="3.28515625" style="8" hidden="1"/>
    <col min="14103" max="14103" width="12.7109375" style="8" hidden="1"/>
    <col min="14104" max="14104" width="4.85546875" style="8" hidden="1"/>
    <col min="14105" max="14105" width="12.7109375" style="8" hidden="1"/>
    <col min="14106" max="14106" width="8.140625" style="8" hidden="1"/>
    <col min="14107" max="14107" width="2.7109375" style="8" hidden="1"/>
    <col min="14108" max="14109" width="11.42578125" style="8" hidden="1"/>
    <col min="14110" max="14110" width="27.85546875" style="8" hidden="1"/>
    <col min="14111" max="14344" width="11.42578125" style="8" hidden="1"/>
    <col min="14345" max="14345" width="2.28515625" style="8" hidden="1"/>
    <col min="14346" max="14346" width="2.7109375" style="8" hidden="1"/>
    <col min="14347" max="14348" width="24.7109375" style="8" hidden="1"/>
    <col min="14349" max="14349" width="4.42578125" style="8" hidden="1"/>
    <col min="14350" max="14350" width="1.42578125" style="8" hidden="1"/>
    <col min="14351" max="14351" width="13.42578125" style="8" hidden="1"/>
    <col min="14352" max="14352" width="2.42578125" style="8" hidden="1"/>
    <col min="14353" max="14353" width="16.140625" style="8" hidden="1"/>
    <col min="14354" max="14354" width="5.7109375" style="8" hidden="1"/>
    <col min="14355" max="14355" width="12.7109375" style="8" hidden="1"/>
    <col min="14356" max="14356" width="3" style="8" hidden="1"/>
    <col min="14357" max="14357" width="12.7109375" style="8" hidden="1"/>
    <col min="14358" max="14358" width="3.28515625" style="8" hidden="1"/>
    <col min="14359" max="14359" width="12.7109375" style="8" hidden="1"/>
    <col min="14360" max="14360" width="4.85546875" style="8" hidden="1"/>
    <col min="14361" max="14361" width="12.7109375" style="8" hidden="1"/>
    <col min="14362" max="14362" width="8.140625" style="8" hidden="1"/>
    <col min="14363" max="14363" width="2.7109375" style="8" hidden="1"/>
    <col min="14364" max="14365" width="11.42578125" style="8" hidden="1"/>
    <col min="14366" max="14366" width="27.85546875" style="8" hidden="1"/>
    <col min="14367" max="14600" width="11.42578125" style="8" hidden="1"/>
    <col min="14601" max="14601" width="2.28515625" style="8" hidden="1"/>
    <col min="14602" max="14602" width="2.7109375" style="8" hidden="1"/>
    <col min="14603" max="14604" width="24.7109375" style="8" hidden="1"/>
    <col min="14605" max="14605" width="4.42578125" style="8" hidden="1"/>
    <col min="14606" max="14606" width="1.42578125" style="8" hidden="1"/>
    <col min="14607" max="14607" width="13.42578125" style="8" hidden="1"/>
    <col min="14608" max="14608" width="2.42578125" style="8" hidden="1"/>
    <col min="14609" max="14609" width="16.140625" style="8" hidden="1"/>
    <col min="14610" max="14610" width="5.7109375" style="8" hidden="1"/>
    <col min="14611" max="14611" width="12.7109375" style="8" hidden="1"/>
    <col min="14612" max="14612" width="3" style="8" hidden="1"/>
    <col min="14613" max="14613" width="12.7109375" style="8" hidden="1"/>
    <col min="14614" max="14614" width="3.28515625" style="8" hidden="1"/>
    <col min="14615" max="14615" width="12.7109375" style="8" hidden="1"/>
    <col min="14616" max="14616" width="4.85546875" style="8" hidden="1"/>
    <col min="14617" max="14617" width="12.7109375" style="8" hidden="1"/>
    <col min="14618" max="14618" width="8.140625" style="8" hidden="1"/>
    <col min="14619" max="14619" width="2.7109375" style="8" hidden="1"/>
    <col min="14620" max="14621" width="11.42578125" style="8" hidden="1"/>
    <col min="14622" max="14622" width="27.85546875" style="8" hidden="1"/>
    <col min="14623" max="14856" width="11.42578125" style="8" hidden="1"/>
    <col min="14857" max="14857" width="2.28515625" style="8" hidden="1"/>
    <col min="14858" max="14858" width="2.7109375" style="8" hidden="1"/>
    <col min="14859" max="14860" width="24.7109375" style="8" hidden="1"/>
    <col min="14861" max="14861" width="4.42578125" style="8" hidden="1"/>
    <col min="14862" max="14862" width="1.42578125" style="8" hidden="1"/>
    <col min="14863" max="14863" width="13.42578125" style="8" hidden="1"/>
    <col min="14864" max="14864" width="2.42578125" style="8" hidden="1"/>
    <col min="14865" max="14865" width="16.140625" style="8" hidden="1"/>
    <col min="14866" max="14866" width="5.7109375" style="8" hidden="1"/>
    <col min="14867" max="14867" width="12.7109375" style="8" hidden="1"/>
    <col min="14868" max="14868" width="3" style="8" hidden="1"/>
    <col min="14869" max="14869" width="12.7109375" style="8" hidden="1"/>
    <col min="14870" max="14870" width="3.28515625" style="8" hidden="1"/>
    <col min="14871" max="14871" width="12.7109375" style="8" hidden="1"/>
    <col min="14872" max="14872" width="4.85546875" style="8" hidden="1"/>
    <col min="14873" max="14873" width="12.7109375" style="8" hidden="1"/>
    <col min="14874" max="14874" width="8.140625" style="8" hidden="1"/>
    <col min="14875" max="14875" width="2.7109375" style="8" hidden="1"/>
    <col min="14876" max="14877" width="11.42578125" style="8" hidden="1"/>
    <col min="14878" max="14878" width="27.85546875" style="8" hidden="1"/>
    <col min="14879" max="15112" width="11.42578125" style="8" hidden="1"/>
    <col min="15113" max="15113" width="2.28515625" style="8" hidden="1"/>
    <col min="15114" max="15114" width="2.7109375" style="8" hidden="1"/>
    <col min="15115" max="15116" width="24.7109375" style="8" hidden="1"/>
    <col min="15117" max="15117" width="4.42578125" style="8" hidden="1"/>
    <col min="15118" max="15118" width="1.42578125" style="8" hidden="1"/>
    <col min="15119" max="15119" width="13.42578125" style="8" hidden="1"/>
    <col min="15120" max="15120" width="2.42578125" style="8" hidden="1"/>
    <col min="15121" max="15121" width="16.140625" style="8" hidden="1"/>
    <col min="15122" max="15122" width="5.7109375" style="8" hidden="1"/>
    <col min="15123" max="15123" width="12.7109375" style="8" hidden="1"/>
    <col min="15124" max="15124" width="3" style="8" hidden="1"/>
    <col min="15125" max="15125" width="12.7109375" style="8" hidden="1"/>
    <col min="15126" max="15126" width="3.28515625" style="8" hidden="1"/>
    <col min="15127" max="15127" width="12.7109375" style="8" hidden="1"/>
    <col min="15128" max="15128" width="4.85546875" style="8" hidden="1"/>
    <col min="15129" max="15129" width="12.7109375" style="8" hidden="1"/>
    <col min="15130" max="15130" width="8.140625" style="8" hidden="1"/>
    <col min="15131" max="15131" width="2.7109375" style="8" hidden="1"/>
    <col min="15132" max="15133" width="11.42578125" style="8" hidden="1"/>
    <col min="15134" max="15134" width="27.85546875" style="8" hidden="1"/>
    <col min="15135" max="15368" width="11.42578125" style="8" hidden="1"/>
    <col min="15369" max="15369" width="2.28515625" style="8" hidden="1"/>
    <col min="15370" max="15370" width="2.7109375" style="8" hidden="1"/>
    <col min="15371" max="15372" width="24.7109375" style="8" hidden="1"/>
    <col min="15373" max="15373" width="4.42578125" style="8" hidden="1"/>
    <col min="15374" max="15374" width="1.42578125" style="8" hidden="1"/>
    <col min="15375" max="15375" width="13.42578125" style="8" hidden="1"/>
    <col min="15376" max="15376" width="2.42578125" style="8" hidden="1"/>
    <col min="15377" max="15377" width="16.140625" style="8" hidden="1"/>
    <col min="15378" max="15378" width="5.7109375" style="8" hidden="1"/>
    <col min="15379" max="15379" width="12.7109375" style="8" hidden="1"/>
    <col min="15380" max="15380" width="3" style="8" hidden="1"/>
    <col min="15381" max="15381" width="12.7109375" style="8" hidden="1"/>
    <col min="15382" max="15382" width="3.28515625" style="8" hidden="1"/>
    <col min="15383" max="15383" width="12.7109375" style="8" hidden="1"/>
    <col min="15384" max="15384" width="4.85546875" style="8" hidden="1"/>
    <col min="15385" max="15385" width="12.7109375" style="8" hidden="1"/>
    <col min="15386" max="15386" width="8.140625" style="8" hidden="1"/>
    <col min="15387" max="15387" width="2.7109375" style="8" hidden="1"/>
    <col min="15388" max="15389" width="11.42578125" style="8" hidden="1"/>
    <col min="15390" max="15390" width="27.85546875" style="8" hidden="1"/>
    <col min="15391" max="15624" width="11.42578125" style="8" hidden="1"/>
    <col min="15625" max="15625" width="2.28515625" style="8" hidden="1"/>
    <col min="15626" max="15626" width="2.7109375" style="8" hidden="1"/>
    <col min="15627" max="15628" width="24.7109375" style="8" hidden="1"/>
    <col min="15629" max="15629" width="4.42578125" style="8" hidden="1"/>
    <col min="15630" max="15630" width="1.42578125" style="8" hidden="1"/>
    <col min="15631" max="15631" width="13.42578125" style="8" hidden="1"/>
    <col min="15632" max="15632" width="2.42578125" style="8" hidden="1"/>
    <col min="15633" max="15633" width="16.140625" style="8" hidden="1"/>
    <col min="15634" max="15634" width="5.7109375" style="8" hidden="1"/>
    <col min="15635" max="15635" width="12.7109375" style="8" hidden="1"/>
    <col min="15636" max="15636" width="3" style="8" hidden="1"/>
    <col min="15637" max="15637" width="12.7109375" style="8" hidden="1"/>
    <col min="15638" max="15638" width="3.28515625" style="8" hidden="1"/>
    <col min="15639" max="15639" width="12.7109375" style="8" hidden="1"/>
    <col min="15640" max="15640" width="4.85546875" style="8" hidden="1"/>
    <col min="15641" max="15641" width="12.7109375" style="8" hidden="1"/>
    <col min="15642" max="15642" width="8.140625" style="8" hidden="1"/>
    <col min="15643" max="15643" width="2.7109375" style="8" hidden="1"/>
    <col min="15644" max="15645" width="11.42578125" style="8" hidden="1"/>
    <col min="15646" max="15646" width="27.85546875" style="8" hidden="1"/>
    <col min="15647" max="15880" width="11.42578125" style="8" hidden="1"/>
    <col min="15881" max="15881" width="2.28515625" style="8" hidden="1"/>
    <col min="15882" max="15882" width="2.7109375" style="8" hidden="1"/>
    <col min="15883" max="15884" width="24.7109375" style="8" hidden="1"/>
    <col min="15885" max="15885" width="4.42578125" style="8" hidden="1"/>
    <col min="15886" max="15886" width="1.42578125" style="8" hidden="1"/>
    <col min="15887" max="15887" width="13.42578125" style="8" hidden="1"/>
    <col min="15888" max="15888" width="2.42578125" style="8" hidden="1"/>
    <col min="15889" max="15889" width="16.140625" style="8" hidden="1"/>
    <col min="15890" max="15890" width="5.7109375" style="8" hidden="1"/>
    <col min="15891" max="15891" width="12.7109375" style="8" hidden="1"/>
    <col min="15892" max="15892" width="3" style="8" hidden="1"/>
    <col min="15893" max="15893" width="12.7109375" style="8" hidden="1"/>
    <col min="15894" max="15894" width="3.28515625" style="8" hidden="1"/>
    <col min="15895" max="15895" width="12.7109375" style="8" hidden="1"/>
    <col min="15896" max="15896" width="4.85546875" style="8" hidden="1"/>
    <col min="15897" max="15897" width="12.7109375" style="8" hidden="1"/>
    <col min="15898" max="15898" width="8.140625" style="8" hidden="1"/>
    <col min="15899" max="15899" width="2.7109375" style="8" hidden="1"/>
    <col min="15900" max="15901" width="11.42578125" style="8" hidden="1"/>
    <col min="15902" max="15902" width="27.85546875" style="8" hidden="1"/>
    <col min="15903" max="16136" width="11.42578125" style="8" hidden="1"/>
    <col min="16137" max="16137" width="2.28515625" style="8" hidden="1"/>
    <col min="16138" max="16138" width="2.7109375" style="8" hidden="1"/>
    <col min="16139" max="16140" width="24.7109375" style="8" hidden="1"/>
    <col min="16141" max="16141" width="4.42578125" style="8" hidden="1"/>
    <col min="16142" max="16142" width="1.42578125" style="8" hidden="1"/>
    <col min="16143" max="16143" width="13.42578125" style="8" hidden="1"/>
    <col min="16144" max="16144" width="2.42578125" style="8" hidden="1"/>
    <col min="16145" max="16145" width="16.140625" style="8" hidden="1"/>
    <col min="16146" max="16146" width="5.7109375" style="8" hidden="1"/>
    <col min="16147" max="16147" width="12.7109375" style="8" hidden="1"/>
    <col min="16148" max="16148" width="3" style="8" hidden="1"/>
    <col min="16149" max="16149" width="12.7109375" style="8" hidden="1"/>
    <col min="16150" max="16150" width="3.28515625" style="8" hidden="1"/>
    <col min="16151" max="16151" width="12.7109375" style="8" hidden="1"/>
    <col min="16152" max="16152" width="4.85546875" style="8" hidden="1"/>
    <col min="16153" max="16153" width="12.7109375" style="8" hidden="1"/>
    <col min="16154" max="16154" width="8.140625" style="8" hidden="1"/>
    <col min="16155" max="16155" width="2.7109375" style="8" hidden="1"/>
    <col min="16156" max="16157" width="11.42578125" style="8" hidden="1"/>
    <col min="16158" max="16158" width="27.85546875" style="8" hidden="1"/>
    <col min="16159" max="16384" width="11.42578125" style="8" hidden="1"/>
  </cols>
  <sheetData>
    <row r="1" spans="2:40" ht="13.5" hidden="1" thickBot="1">
      <c r="B1" s="8" t="s">
        <v>5</v>
      </c>
    </row>
    <row r="2" spans="2:40" s="99" customFormat="1" ht="54" customHeight="1" thickBot="1">
      <c r="B2" s="345" t="s">
        <v>646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7"/>
      <c r="W2" s="430" t="str">
        <f>IF(AND(N66+N71=2,ISNUMBER(W8)),"SPLŇUJE","NESPLŇUJE")</f>
        <v>NESPLŇUJE</v>
      </c>
      <c r="X2" s="98"/>
      <c r="Y2" s="209"/>
      <c r="Z2" s="210"/>
      <c r="AA2" s="211"/>
      <c r="AB2" s="212"/>
      <c r="AC2" s="213"/>
      <c r="AG2" s="8"/>
      <c r="AN2" s="100"/>
    </row>
    <row r="3" spans="2:40" s="102" customFormat="1" ht="14.25" customHeight="1">
      <c r="B3" s="101"/>
      <c r="D3" s="103"/>
      <c r="E3" s="103"/>
      <c r="F3" s="103"/>
      <c r="G3" s="103"/>
      <c r="H3" s="103"/>
      <c r="I3" s="101"/>
      <c r="J3" s="101"/>
      <c r="K3" s="101"/>
      <c r="L3" s="101"/>
      <c r="M3" s="101"/>
      <c r="N3" s="101"/>
      <c r="O3" s="101"/>
      <c r="P3" s="104"/>
      <c r="Q3" s="104"/>
      <c r="R3" s="104"/>
      <c r="S3" s="104"/>
      <c r="T3" s="104"/>
      <c r="U3" s="104"/>
      <c r="V3" s="104"/>
      <c r="W3" s="105"/>
      <c r="X3" s="105"/>
      <c r="Y3" s="214"/>
      <c r="Z3" s="215"/>
      <c r="AA3" s="216"/>
      <c r="AB3" s="216"/>
      <c r="AC3" s="216"/>
      <c r="AG3" s="8"/>
      <c r="AN3" s="107"/>
    </row>
    <row r="4" spans="2:40" s="102" customFormat="1" ht="18" customHeight="1">
      <c r="B4" s="288" t="s">
        <v>484</v>
      </c>
      <c r="C4" s="288"/>
      <c r="D4" s="288"/>
      <c r="E4" s="288"/>
      <c r="F4" s="288"/>
      <c r="G4" s="288"/>
      <c r="H4" s="288"/>
      <c r="I4" s="288"/>
      <c r="J4" s="288"/>
      <c r="K4" s="101"/>
      <c r="L4" s="101"/>
      <c r="M4" s="101"/>
      <c r="N4" s="101"/>
      <c r="O4" s="101"/>
      <c r="P4" s="104"/>
      <c r="Q4" s="104"/>
      <c r="R4" s="104"/>
      <c r="S4" s="104"/>
      <c r="T4" s="10" t="s">
        <v>645</v>
      </c>
      <c r="U4" s="10"/>
      <c r="V4" s="104"/>
      <c r="W4" s="95"/>
      <c r="X4" s="105"/>
      <c r="Y4" s="214"/>
      <c r="Z4" s="215"/>
      <c r="AA4" s="216"/>
      <c r="AB4" s="216"/>
      <c r="AC4" s="216"/>
      <c r="AG4" s="8"/>
      <c r="AN4" s="107"/>
    </row>
    <row r="5" spans="2:40" s="102" customFormat="1" ht="8.25" customHeight="1" thickBot="1">
      <c r="B5" s="101"/>
      <c r="C5" s="108"/>
      <c r="D5" s="103"/>
      <c r="E5" s="103"/>
      <c r="F5" s="103"/>
      <c r="G5" s="103"/>
      <c r="H5" s="103"/>
      <c r="I5" s="101"/>
      <c r="J5" s="101"/>
      <c r="K5" s="101"/>
      <c r="L5" s="101"/>
      <c r="M5" s="101"/>
      <c r="N5" s="101"/>
      <c r="O5" s="101"/>
      <c r="P5" s="104"/>
      <c r="Q5" s="104"/>
      <c r="R5" s="104"/>
      <c r="S5" s="104"/>
      <c r="T5" s="104"/>
      <c r="U5" s="104"/>
      <c r="V5" s="104"/>
      <c r="W5" s="105"/>
      <c r="X5" s="105"/>
      <c r="Y5" s="214"/>
      <c r="Z5" s="215"/>
      <c r="AA5" s="216"/>
      <c r="AB5" s="216"/>
      <c r="AC5" s="216"/>
      <c r="AG5" s="8"/>
      <c r="AN5" s="107"/>
    </row>
    <row r="6" spans="2:40" s="102" customFormat="1" ht="18.75" customHeight="1">
      <c r="B6" s="332" t="s">
        <v>0</v>
      </c>
      <c r="C6" s="333"/>
      <c r="D6" s="333"/>
      <c r="E6" s="333"/>
      <c r="F6" s="333"/>
      <c r="G6" s="334"/>
      <c r="H6" s="356" t="s">
        <v>490</v>
      </c>
      <c r="I6" s="357"/>
      <c r="J6" s="357"/>
      <c r="K6" s="357"/>
      <c r="L6" s="357"/>
      <c r="M6" s="357"/>
      <c r="N6" s="357"/>
      <c r="O6" s="358"/>
      <c r="P6" s="104"/>
      <c r="Q6" s="104"/>
      <c r="R6" s="104"/>
      <c r="S6" s="8"/>
      <c r="T6" s="109" t="s">
        <v>481</v>
      </c>
      <c r="U6" s="109"/>
      <c r="W6" s="97">
        <v>20</v>
      </c>
      <c r="X6" s="111" t="s">
        <v>6</v>
      </c>
      <c r="Y6" s="217"/>
      <c r="Z6" s="215"/>
      <c r="AA6" s="216"/>
      <c r="AB6" s="216"/>
      <c r="AC6" s="216"/>
      <c r="AG6" s="8"/>
      <c r="AN6" s="107"/>
    </row>
    <row r="7" spans="2:40" s="102" customFormat="1" ht="18.75" customHeight="1">
      <c r="B7" s="283" t="s">
        <v>1</v>
      </c>
      <c r="C7" s="284"/>
      <c r="D7" s="284"/>
      <c r="E7" s="284"/>
      <c r="F7" s="284"/>
      <c r="G7" s="335"/>
      <c r="H7" s="338" t="s">
        <v>491</v>
      </c>
      <c r="I7" s="339"/>
      <c r="J7" s="339"/>
      <c r="K7" s="339"/>
      <c r="L7" s="339"/>
      <c r="M7" s="339"/>
      <c r="N7" s="339"/>
      <c r="O7" s="340"/>
      <c r="P7" s="104" t="s">
        <v>569</v>
      </c>
      <c r="Q7" s="104"/>
      <c r="R7" s="104"/>
      <c r="S7" s="8"/>
      <c r="T7" s="109" t="s">
        <v>485</v>
      </c>
      <c r="U7" s="109"/>
      <c r="W7" s="95">
        <v>-15</v>
      </c>
      <c r="X7" s="111" t="s">
        <v>6</v>
      </c>
      <c r="Y7" s="217"/>
      <c r="Z7" s="215"/>
      <c r="AA7" s="216"/>
      <c r="AB7" s="216"/>
      <c r="AC7" s="216"/>
      <c r="AG7" s="8"/>
      <c r="AN7" s="107"/>
    </row>
    <row r="8" spans="2:40" s="102" customFormat="1" ht="18.75" customHeight="1" thickBot="1">
      <c r="B8" s="319" t="s">
        <v>494</v>
      </c>
      <c r="C8" s="320"/>
      <c r="D8" s="320"/>
      <c r="E8" s="320"/>
      <c r="F8" s="320"/>
      <c r="G8" s="321"/>
      <c r="H8" s="343">
        <v>725689</v>
      </c>
      <c r="I8" s="344"/>
      <c r="J8" s="344"/>
      <c r="K8" s="344"/>
      <c r="L8" s="344"/>
      <c r="M8" s="344"/>
      <c r="N8" s="359" t="s">
        <v>495</v>
      </c>
      <c r="O8" s="360"/>
      <c r="P8" s="104"/>
      <c r="Q8" s="104"/>
      <c r="R8" s="104"/>
      <c r="S8" s="8"/>
      <c r="T8" s="109" t="s">
        <v>482</v>
      </c>
      <c r="U8" s="109"/>
      <c r="W8" s="95"/>
      <c r="X8" s="111" t="s">
        <v>7</v>
      </c>
      <c r="Y8" s="217"/>
      <c r="Z8" s="215"/>
      <c r="AA8" s="216"/>
      <c r="AB8" s="216"/>
      <c r="AC8" s="216"/>
      <c r="AG8" s="8"/>
      <c r="AN8" s="107"/>
    </row>
    <row r="9" spans="2:40" s="102" customFormat="1" ht="18.75" customHeight="1" thickBot="1">
      <c r="B9" s="101"/>
      <c r="C9" s="113"/>
      <c r="D9" s="113"/>
      <c r="E9" s="113"/>
      <c r="F9" s="113"/>
      <c r="G9" s="113"/>
      <c r="M9" s="101"/>
      <c r="N9" s="101"/>
      <c r="O9" s="101"/>
      <c r="P9" s="104"/>
      <c r="Q9" s="104"/>
      <c r="R9" s="104"/>
      <c r="S9" s="8"/>
      <c r="Y9" s="217"/>
      <c r="Z9" s="215"/>
      <c r="AA9" s="216"/>
      <c r="AB9" s="216"/>
      <c r="AC9" s="216"/>
      <c r="AG9" s="8"/>
      <c r="AN9" s="107"/>
    </row>
    <row r="10" spans="2:40" s="102" customFormat="1" ht="18" customHeight="1">
      <c r="B10" s="332" t="s">
        <v>496</v>
      </c>
      <c r="C10" s="333"/>
      <c r="D10" s="333"/>
      <c r="E10" s="333"/>
      <c r="F10" s="333"/>
      <c r="G10" s="334"/>
      <c r="H10" s="349" t="s">
        <v>647</v>
      </c>
      <c r="I10" s="350"/>
      <c r="J10" s="350"/>
      <c r="K10" s="350"/>
      <c r="L10" s="350"/>
      <c r="M10" s="341" t="s">
        <v>498</v>
      </c>
      <c r="N10" s="341"/>
      <c r="O10" s="342"/>
      <c r="R10" s="8"/>
      <c r="T10" s="109" t="s">
        <v>487</v>
      </c>
      <c r="U10" s="109"/>
      <c r="W10" s="110">
        <f>0.85*2.5*W8</f>
        <v>0</v>
      </c>
      <c r="X10" s="111" t="s">
        <v>488</v>
      </c>
      <c r="Y10" s="214"/>
      <c r="Z10" s="215"/>
      <c r="AA10" s="216"/>
      <c r="AB10" s="216"/>
      <c r="AC10" s="216"/>
      <c r="AG10" s="8"/>
      <c r="AN10" s="107"/>
    </row>
    <row r="11" spans="2:40" s="102" customFormat="1" ht="18" customHeight="1">
      <c r="B11" s="155" t="s">
        <v>497</v>
      </c>
      <c r="C11" s="204"/>
      <c r="D11" s="204"/>
      <c r="E11" s="204"/>
      <c r="F11" s="204"/>
      <c r="G11" s="112"/>
      <c r="H11" s="338" t="s">
        <v>492</v>
      </c>
      <c r="I11" s="339"/>
      <c r="J11" s="339"/>
      <c r="K11" s="339"/>
      <c r="L11" s="339"/>
      <c r="M11" s="339"/>
      <c r="N11" s="339"/>
      <c r="O11" s="340"/>
      <c r="P11" s="104"/>
      <c r="Q11" s="114"/>
      <c r="T11" s="115" t="s">
        <v>501</v>
      </c>
      <c r="X11" s="116"/>
      <c r="Y11" s="214"/>
      <c r="Z11" s="216"/>
      <c r="AA11" s="216"/>
      <c r="AB11" s="216"/>
      <c r="AC11" s="216"/>
      <c r="AG11" s="8"/>
      <c r="AN11" s="107"/>
    </row>
    <row r="12" spans="2:40" s="102" customFormat="1" ht="18" customHeight="1">
      <c r="B12" s="283" t="s">
        <v>2</v>
      </c>
      <c r="C12" s="284"/>
      <c r="D12" s="284"/>
      <c r="E12" s="284"/>
      <c r="F12" s="284"/>
      <c r="G12" s="335"/>
      <c r="H12" s="351" t="s">
        <v>493</v>
      </c>
      <c r="I12" s="352"/>
      <c r="J12" s="352"/>
      <c r="K12" s="352"/>
      <c r="L12" s="352"/>
      <c r="M12" s="336">
        <v>777000000</v>
      </c>
      <c r="N12" s="336"/>
      <c r="O12" s="337"/>
      <c r="P12" s="104"/>
      <c r="Q12" s="114"/>
      <c r="R12" s="353" t="s">
        <v>561</v>
      </c>
      <c r="S12" s="354"/>
      <c r="T12" s="354"/>
      <c r="U12" s="354"/>
      <c r="V12" s="355"/>
      <c r="W12" s="110">
        <f>INDEX($AC$40:$AC$44,MATCH($R$12,$AB$40:$AB$44,0))</f>
        <v>3.5</v>
      </c>
      <c r="X12" s="116" t="s">
        <v>486</v>
      </c>
      <c r="Y12" s="214"/>
      <c r="Z12" s="216"/>
      <c r="AA12" s="216"/>
      <c r="AB12" s="216"/>
      <c r="AC12" s="216"/>
      <c r="AG12" s="8"/>
      <c r="AN12" s="107"/>
    </row>
    <row r="13" spans="2:40" s="102" customFormat="1" ht="18" customHeight="1">
      <c r="B13" s="283" t="s">
        <v>638</v>
      </c>
      <c r="C13" s="284"/>
      <c r="D13" s="284"/>
      <c r="E13" s="284"/>
      <c r="F13" s="284"/>
      <c r="G13" s="284"/>
      <c r="H13" s="285" t="s">
        <v>642</v>
      </c>
      <c r="I13" s="286"/>
      <c r="J13" s="286"/>
      <c r="K13" s="286"/>
      <c r="L13" s="286"/>
      <c r="M13" s="286"/>
      <c r="N13" s="286"/>
      <c r="O13" s="287"/>
      <c r="P13" s="104"/>
      <c r="Q13" s="114"/>
      <c r="T13" s="115" t="s">
        <v>563</v>
      </c>
      <c r="U13" s="115"/>
      <c r="W13" s="96">
        <v>0.5</v>
      </c>
      <c r="X13" s="116" t="s">
        <v>486</v>
      </c>
      <c r="Y13" s="214"/>
      <c r="Z13" s="216"/>
      <c r="AA13" s="216"/>
      <c r="AB13" s="216"/>
      <c r="AC13" s="216"/>
      <c r="AG13" s="8"/>
      <c r="AN13" s="107"/>
    </row>
    <row r="14" spans="2:40" s="102" customFormat="1" ht="18" customHeight="1" thickBot="1">
      <c r="B14" s="319" t="s">
        <v>499</v>
      </c>
      <c r="C14" s="320"/>
      <c r="D14" s="320"/>
      <c r="E14" s="320"/>
      <c r="F14" s="320"/>
      <c r="G14" s="321"/>
      <c r="H14" s="317">
        <v>44748</v>
      </c>
      <c r="I14" s="317"/>
      <c r="J14" s="317"/>
      <c r="K14" s="317"/>
      <c r="L14" s="317"/>
      <c r="M14" s="317"/>
      <c r="N14" s="317"/>
      <c r="O14" s="318"/>
      <c r="P14" s="104"/>
      <c r="Q14" s="104"/>
      <c r="R14" s="104"/>
      <c r="S14" s="104"/>
      <c r="T14" s="115" t="s">
        <v>502</v>
      </c>
      <c r="U14" s="115"/>
      <c r="V14" s="117"/>
      <c r="W14" s="146">
        <v>0</v>
      </c>
      <c r="X14" s="105"/>
      <c r="Y14" s="214"/>
      <c r="Z14" s="215"/>
      <c r="AA14" s="216"/>
      <c r="AB14" s="216"/>
      <c r="AC14" s="216"/>
      <c r="AG14" s="8"/>
      <c r="AN14" s="107"/>
    </row>
    <row r="15" spans="2:40" s="102" customFormat="1" ht="18" customHeight="1" thickBot="1">
      <c r="P15" s="104"/>
      <c r="Q15" s="104"/>
      <c r="R15" s="104"/>
      <c r="S15" s="104"/>
      <c r="T15" s="115"/>
      <c r="U15" s="115"/>
      <c r="V15" s="117"/>
      <c r="W15" s="105"/>
      <c r="X15" s="105"/>
      <c r="Y15" s="214"/>
      <c r="Z15" s="215"/>
      <c r="AA15" s="216"/>
      <c r="AB15" s="216"/>
      <c r="AC15" s="216"/>
      <c r="AG15" s="8"/>
      <c r="AN15" s="107"/>
    </row>
    <row r="16" spans="2:40" s="102" customFormat="1" ht="18" customHeight="1" thickBot="1">
      <c r="B16" s="302" t="s">
        <v>622</v>
      </c>
      <c r="C16" s="303"/>
      <c r="D16" s="303"/>
      <c r="E16" s="303"/>
      <c r="F16" s="303"/>
      <c r="G16" s="304"/>
      <c r="H16" s="305" t="s">
        <v>642</v>
      </c>
      <c r="I16" s="306"/>
      <c r="J16" s="306"/>
      <c r="K16" s="306"/>
      <c r="L16" s="306"/>
      <c r="M16" s="306"/>
      <c r="N16" s="306"/>
      <c r="O16" s="307"/>
      <c r="P16" s="104"/>
      <c r="Q16" s="104"/>
      <c r="R16" s="104"/>
      <c r="S16" s="104"/>
      <c r="T16" s="115"/>
      <c r="U16" s="115"/>
      <c r="V16" s="117"/>
      <c r="W16" s="105"/>
      <c r="X16" s="105"/>
      <c r="Y16" s="214"/>
      <c r="Z16" s="215"/>
      <c r="AA16" s="216"/>
      <c r="AB16" s="216"/>
      <c r="AC16" s="216"/>
      <c r="AG16" s="8"/>
      <c r="AN16" s="107"/>
    </row>
    <row r="17" spans="2:43" s="102" customFormat="1" ht="18" customHeight="1">
      <c r="B17" s="101"/>
      <c r="D17" s="103"/>
      <c r="E17" s="103"/>
      <c r="F17" s="103"/>
      <c r="G17" s="103"/>
      <c r="H17" s="103"/>
      <c r="I17" s="101"/>
      <c r="J17" s="101"/>
      <c r="K17" s="101"/>
      <c r="L17" s="101"/>
      <c r="M17" s="101"/>
      <c r="N17" s="101"/>
      <c r="O17" s="101"/>
      <c r="P17" s="104"/>
      <c r="Q17" s="104"/>
      <c r="R17" s="104"/>
      <c r="S17" s="104"/>
      <c r="T17" s="115"/>
      <c r="U17" s="115"/>
      <c r="V17" s="117"/>
      <c r="W17" s="105"/>
      <c r="X17" s="105"/>
      <c r="Y17" s="214"/>
      <c r="Z17" s="215"/>
      <c r="AA17" s="216"/>
      <c r="AB17" s="216"/>
      <c r="AC17" s="216"/>
      <c r="AG17" s="8"/>
      <c r="AN17" s="107"/>
    </row>
    <row r="18" spans="2:43" s="102" customFormat="1" ht="18" customHeight="1">
      <c r="B18" s="288" t="s">
        <v>504</v>
      </c>
      <c r="C18" s="288"/>
      <c r="D18" s="288"/>
      <c r="E18" s="288"/>
      <c r="F18" s="288"/>
      <c r="G18" s="288"/>
      <c r="H18" s="288"/>
      <c r="I18" s="288"/>
      <c r="J18" s="288"/>
      <c r="K18" s="101"/>
      <c r="L18" s="101"/>
      <c r="M18" s="101"/>
      <c r="N18" s="101"/>
      <c r="O18" s="101"/>
      <c r="P18" s="104"/>
      <c r="Q18" s="104"/>
      <c r="R18" s="104"/>
      <c r="S18" s="104"/>
      <c r="T18" s="104"/>
      <c r="U18" s="104"/>
      <c r="V18" s="104"/>
      <c r="W18" s="105"/>
      <c r="X18" s="105"/>
      <c r="Y18" s="214"/>
      <c r="Z18" s="215"/>
      <c r="AA18" s="216"/>
      <c r="AB18" s="216"/>
      <c r="AC18" s="216"/>
      <c r="AG18" s="8"/>
      <c r="AN18" s="107"/>
    </row>
    <row r="19" spans="2:43" s="102" customFormat="1" ht="8.25" customHeight="1" thickBot="1">
      <c r="B19" s="101"/>
      <c r="D19" s="103"/>
      <c r="E19" s="103"/>
      <c r="F19" s="103"/>
      <c r="G19" s="103"/>
      <c r="H19" s="103"/>
      <c r="I19" s="101"/>
      <c r="J19" s="101"/>
      <c r="K19" s="101"/>
      <c r="L19" s="101"/>
      <c r="M19" s="101"/>
      <c r="N19" s="101"/>
      <c r="O19" s="101"/>
      <c r="P19" s="104"/>
      <c r="Q19" s="104"/>
      <c r="R19" s="104"/>
      <c r="S19" s="104"/>
      <c r="T19" s="104"/>
      <c r="U19" s="104"/>
      <c r="V19" s="104"/>
      <c r="W19" s="105"/>
      <c r="X19" s="105"/>
      <c r="Y19" s="214"/>
      <c r="Z19" s="215"/>
      <c r="AA19" s="216"/>
      <c r="AB19" s="216"/>
      <c r="AC19" s="216"/>
      <c r="AG19" s="8"/>
      <c r="AN19" s="107"/>
    </row>
    <row r="20" spans="2:43" s="102" customFormat="1" ht="46.5" customHeight="1">
      <c r="B20" s="289" t="s">
        <v>503</v>
      </c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1"/>
      <c r="X20" s="105"/>
      <c r="Y20" s="214"/>
      <c r="Z20" s="215"/>
      <c r="AA20" s="216"/>
      <c r="AB20" s="216"/>
      <c r="AC20" s="216"/>
      <c r="AG20" s="8"/>
      <c r="AN20" s="107"/>
    </row>
    <row r="21" spans="2:43" s="102" customFormat="1" ht="46.5" customHeight="1" thickBot="1">
      <c r="B21" s="292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4"/>
      <c r="X21" s="105"/>
      <c r="Y21" s="214"/>
      <c r="Z21" s="215"/>
      <c r="AA21" s="216"/>
      <c r="AB21" s="216"/>
      <c r="AC21" s="216"/>
      <c r="AG21" s="8"/>
      <c r="AN21" s="107"/>
    </row>
    <row r="22" spans="2:43" s="102" customFormat="1" ht="14.25" customHeight="1">
      <c r="B22" s="101"/>
      <c r="C22" s="113"/>
      <c r="D22" s="103"/>
      <c r="E22" s="103"/>
      <c r="F22" s="103"/>
      <c r="G22" s="103"/>
      <c r="H22" s="103"/>
      <c r="I22" s="101"/>
      <c r="J22" s="101"/>
      <c r="K22" s="101"/>
      <c r="L22" s="101"/>
      <c r="M22" s="101"/>
      <c r="N22" s="101"/>
      <c r="O22" s="101"/>
      <c r="P22" s="104"/>
      <c r="Q22" s="104"/>
      <c r="R22" s="104"/>
      <c r="S22" s="104"/>
      <c r="T22" s="104"/>
      <c r="U22" s="104"/>
      <c r="V22" s="104"/>
      <c r="W22" s="105"/>
      <c r="X22" s="105"/>
      <c r="Y22" s="214"/>
      <c r="Z22" s="215"/>
      <c r="AA22" s="216"/>
      <c r="AB22" s="216"/>
      <c r="AC22" s="216"/>
      <c r="AG22" s="8"/>
      <c r="AN22" s="107"/>
    </row>
    <row r="23" spans="2:43" ht="18" hidden="1" customHeight="1">
      <c r="B23" s="288" t="s">
        <v>500</v>
      </c>
      <c r="C23" s="288"/>
      <c r="D23" s="288"/>
      <c r="E23" s="288"/>
      <c r="F23" s="288"/>
      <c r="G23" s="288"/>
      <c r="H23" s="288"/>
      <c r="I23" s="288"/>
      <c r="J23" s="288"/>
      <c r="K23" s="118"/>
      <c r="L23" s="118"/>
      <c r="M23" s="118"/>
      <c r="N23" s="118"/>
      <c r="O23" s="118"/>
      <c r="P23" s="104"/>
      <c r="Q23" s="104"/>
      <c r="R23" s="104"/>
      <c r="S23" s="104"/>
      <c r="T23" s="104"/>
      <c r="U23" s="104"/>
      <c r="V23" s="104"/>
      <c r="W23" s="104"/>
      <c r="X23" s="104"/>
      <c r="Y23" s="218"/>
      <c r="Z23" s="219"/>
      <c r="AA23" s="220"/>
      <c r="AB23" s="220"/>
      <c r="AC23" s="220"/>
    </row>
    <row r="24" spans="2:43" s="102" customFormat="1" ht="4.5" hidden="1" customHeight="1" thickBot="1">
      <c r="B24" s="101"/>
      <c r="D24" s="103"/>
      <c r="E24" s="103"/>
      <c r="F24" s="103"/>
      <c r="G24" s="103"/>
      <c r="H24" s="103"/>
      <c r="I24" s="101"/>
      <c r="J24" s="101"/>
      <c r="K24" s="101"/>
      <c r="L24" s="101"/>
      <c r="M24" s="101"/>
      <c r="N24" s="101"/>
      <c r="O24" s="101"/>
      <c r="P24" s="104"/>
      <c r="Q24" s="104"/>
      <c r="R24" s="104"/>
      <c r="S24" s="104"/>
      <c r="T24" s="104"/>
      <c r="U24" s="104"/>
      <c r="V24" s="104"/>
      <c r="W24" s="105"/>
      <c r="X24" s="105"/>
      <c r="Y24" s="214"/>
      <c r="Z24" s="215"/>
      <c r="AA24" s="216"/>
      <c r="AB24" s="216"/>
      <c r="AC24" s="216"/>
      <c r="AG24" s="8"/>
      <c r="AN24" s="107"/>
    </row>
    <row r="25" spans="2:43" s="102" customFormat="1" ht="150" hidden="1" customHeight="1">
      <c r="B25" s="289"/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1"/>
      <c r="X25" s="105"/>
      <c r="Y25" s="214"/>
      <c r="Z25" s="215"/>
      <c r="AA25" s="216"/>
      <c r="AB25" s="216"/>
      <c r="AC25" s="216"/>
      <c r="AD25"/>
      <c r="AG25" s="8"/>
      <c r="AN25" s="107"/>
    </row>
    <row r="26" spans="2:43" s="102" customFormat="1" ht="150" hidden="1" customHeight="1" thickBot="1">
      <c r="B26" s="292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4"/>
      <c r="X26" s="105"/>
      <c r="Y26" s="214"/>
      <c r="Z26" s="215"/>
      <c r="AA26" s="216"/>
      <c r="AB26" s="216"/>
      <c r="AC26" s="216"/>
      <c r="AG26" s="8"/>
      <c r="AN26" s="107"/>
    </row>
    <row r="27" spans="2:43" ht="30.75" hidden="1" customHeight="1">
      <c r="L27" s="120"/>
      <c r="O27" s="120"/>
      <c r="Y27" s="220"/>
      <c r="Z27" s="215"/>
      <c r="AA27" s="221"/>
      <c r="AB27" s="221"/>
      <c r="AC27" s="220"/>
    </row>
    <row r="28" spans="2:43" ht="18.75" customHeight="1" thickBot="1">
      <c r="B28" s="108" t="s">
        <v>8</v>
      </c>
      <c r="C28" s="120"/>
      <c r="M28" s="120"/>
      <c r="N28" s="120"/>
      <c r="O28" s="120"/>
      <c r="P28" s="111"/>
      <c r="Q28" s="111"/>
      <c r="R28" s="111"/>
      <c r="S28" s="111"/>
      <c r="T28" s="111"/>
      <c r="U28" s="111"/>
      <c r="V28" s="111"/>
      <c r="W28" s="120"/>
      <c r="X28" s="120"/>
      <c r="Y28" s="221"/>
      <c r="Z28" s="215"/>
      <c r="AA28" s="221"/>
      <c r="AB28" s="221"/>
      <c r="AC28" s="220"/>
    </row>
    <row r="29" spans="2:43">
      <c r="B29" s="157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348"/>
      <c r="O29" s="348"/>
      <c r="P29" s="348"/>
      <c r="Q29" s="158"/>
      <c r="R29" s="158"/>
      <c r="S29" s="158"/>
      <c r="T29" s="158"/>
      <c r="U29" s="158"/>
      <c r="V29" s="158"/>
      <c r="W29" s="159"/>
      <c r="X29" s="121"/>
      <c r="Y29" s="222"/>
      <c r="Z29" s="220"/>
      <c r="AA29" s="221"/>
      <c r="AB29" s="221"/>
      <c r="AC29" s="220"/>
      <c r="AN29" s="115"/>
      <c r="AO29" s="122"/>
      <c r="AP29" s="122"/>
      <c r="AQ29" s="122"/>
    </row>
    <row r="30" spans="2:43" ht="25.5" customHeight="1">
      <c r="B30" s="160"/>
      <c r="C30" s="120"/>
      <c r="D30" s="120"/>
      <c r="E30" s="120"/>
      <c r="F30" s="120"/>
      <c r="G30" s="295" t="s">
        <v>9</v>
      </c>
      <c r="H30" s="295" t="s">
        <v>548</v>
      </c>
      <c r="I30" s="120"/>
      <c r="J30" s="322" t="s">
        <v>633</v>
      </c>
      <c r="K30" s="120"/>
      <c r="L30" s="322" t="s">
        <v>634</v>
      </c>
      <c r="M30" s="120"/>
      <c r="N30" s="322" t="s">
        <v>476</v>
      </c>
      <c r="O30" s="322"/>
      <c r="P30" s="322"/>
      <c r="Q30" s="161"/>
      <c r="R30" s="295" t="s">
        <v>635</v>
      </c>
      <c r="S30" s="120"/>
      <c r="T30" s="296" t="s">
        <v>479</v>
      </c>
      <c r="U30" s="296"/>
      <c r="V30" s="296"/>
      <c r="W30" s="361"/>
      <c r="X30" s="123"/>
      <c r="Y30" s="223"/>
      <c r="Z30" s="220"/>
      <c r="AA30" s="221"/>
      <c r="AB30" s="220"/>
      <c r="AC30" s="220"/>
      <c r="AN30" s="115"/>
      <c r="AO30" s="122"/>
      <c r="AP30" s="122"/>
      <c r="AQ30" s="122"/>
    </row>
    <row r="31" spans="2:43">
      <c r="B31" s="160"/>
      <c r="C31" s="120"/>
      <c r="D31" s="162" t="s">
        <v>12</v>
      </c>
      <c r="E31" s="162"/>
      <c r="F31" s="162"/>
      <c r="G31" s="295"/>
      <c r="H31" s="295"/>
      <c r="I31" s="120"/>
      <c r="J31" s="323"/>
      <c r="K31" s="102"/>
      <c r="L31" s="323"/>
      <c r="M31" s="163"/>
      <c r="N31" s="164" t="s">
        <v>477</v>
      </c>
      <c r="O31" s="102"/>
      <c r="P31" s="165" t="s">
        <v>478</v>
      </c>
      <c r="Q31" s="102"/>
      <c r="R31" s="296"/>
      <c r="S31" s="102"/>
      <c r="T31" s="164" t="s">
        <v>636</v>
      </c>
      <c r="U31" s="164" t="s">
        <v>549</v>
      </c>
      <c r="V31" s="102"/>
      <c r="W31" s="166" t="s">
        <v>478</v>
      </c>
      <c r="X31" s="124"/>
      <c r="Y31" s="224"/>
      <c r="Z31" s="220"/>
      <c r="AA31" s="221"/>
      <c r="AB31" s="220"/>
      <c r="AC31" s="220"/>
      <c r="AO31" s="115"/>
      <c r="AP31" s="125"/>
      <c r="AQ31" s="125"/>
    </row>
    <row r="32" spans="2:43" ht="15.75">
      <c r="B32" s="160"/>
      <c r="C32" s="308" t="s">
        <v>603</v>
      </c>
      <c r="D32" s="308"/>
      <c r="E32" s="308"/>
      <c r="F32" s="308"/>
      <c r="G32" s="308"/>
      <c r="H32" s="308"/>
      <c r="I32" s="308"/>
      <c r="J32" s="308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8"/>
      <c r="W32" s="309"/>
      <c r="X32" s="124"/>
      <c r="Y32" s="224"/>
      <c r="Z32" s="220"/>
      <c r="AA32" s="221"/>
      <c r="AB32" s="220"/>
      <c r="AC32" s="220"/>
      <c r="AO32" s="115"/>
      <c r="AP32" s="125"/>
      <c r="AQ32" s="125"/>
    </row>
    <row r="33" spans="2:43" ht="15.75">
      <c r="B33" s="160"/>
      <c r="C33" s="167"/>
      <c r="D33" s="147" t="s">
        <v>13</v>
      </c>
      <c r="E33" s="148"/>
      <c r="F33" s="148"/>
      <c r="G33" s="126" t="str">
        <f>IF(ISNUMBER(L33),IF(L33&gt;R33,"NE","ANO"),"")</f>
        <v/>
      </c>
      <c r="H33" s="95"/>
      <c r="I33" s="120"/>
      <c r="J33" s="95"/>
      <c r="K33" s="168" t="s">
        <v>14</v>
      </c>
      <c r="L33" s="96"/>
      <c r="M33" s="168" t="s">
        <v>14</v>
      </c>
      <c r="N33" s="110">
        <v>1</v>
      </c>
      <c r="O33" s="168"/>
      <c r="P33" s="169">
        <f t="shared" ref="P33:P43" si="0">N33</f>
        <v>1</v>
      </c>
      <c r="Q33" s="168"/>
      <c r="R33" s="127">
        <v>0.3</v>
      </c>
      <c r="S33" s="170"/>
      <c r="T33" s="126">
        <f>J33*L33*N33</f>
        <v>0</v>
      </c>
      <c r="U33" s="126">
        <f>IF(H33&lt;&gt;"",J33*R33*0.7*N33,J33*L33*N33)</f>
        <v>0</v>
      </c>
      <c r="V33" s="170"/>
      <c r="W33" s="171">
        <f>J33*P33*R33</f>
        <v>0</v>
      </c>
      <c r="X33" s="128"/>
      <c r="Y33" s="225"/>
      <c r="Z33" s="220"/>
      <c r="AA33" s="221"/>
      <c r="AB33" s="220"/>
      <c r="AC33" s="220"/>
      <c r="AO33" s="115"/>
      <c r="AP33" s="125"/>
      <c r="AQ33" s="125"/>
    </row>
    <row r="34" spans="2:43" ht="15.75">
      <c r="B34" s="160"/>
      <c r="C34" s="167"/>
      <c r="D34" s="147" t="s">
        <v>15</v>
      </c>
      <c r="E34" s="148"/>
      <c r="F34" s="148"/>
      <c r="G34" s="126" t="str">
        <f t="shared" ref="G34:G35" si="1">IF(ISNUMBER(L34),IF(L34&gt;R34,"NE","ANO"),"")</f>
        <v/>
      </c>
      <c r="H34" s="95"/>
      <c r="I34" s="120"/>
      <c r="J34" s="95"/>
      <c r="K34" s="168" t="s">
        <v>14</v>
      </c>
      <c r="L34" s="96"/>
      <c r="M34" s="168" t="s">
        <v>14</v>
      </c>
      <c r="N34" s="110">
        <v>1</v>
      </c>
      <c r="O34" s="168"/>
      <c r="P34" s="169">
        <f t="shared" si="0"/>
        <v>1</v>
      </c>
      <c r="Q34" s="168"/>
      <c r="R34" s="127">
        <v>0.3</v>
      </c>
      <c r="S34" s="170"/>
      <c r="T34" s="126">
        <f>J34*L34*N34</f>
        <v>0</v>
      </c>
      <c r="U34" s="126">
        <f t="shared" ref="U34:U58" si="2">IF(H34="x",J34*R34*0.7*N34,J34*L34*N34)</f>
        <v>0</v>
      </c>
      <c r="V34" s="170"/>
      <c r="W34" s="171">
        <f t="shared" ref="W34:W58" si="3">J34*P34*R34</f>
        <v>0</v>
      </c>
      <c r="X34" s="128"/>
      <c r="Y34" s="225"/>
      <c r="Z34" s="220"/>
      <c r="AA34" s="221"/>
      <c r="AB34" s="220"/>
      <c r="AC34" s="220"/>
      <c r="AO34" s="115"/>
      <c r="AP34" s="125"/>
      <c r="AQ34" s="125"/>
    </row>
    <row r="35" spans="2:43" ht="15.75">
      <c r="B35" s="160"/>
      <c r="C35" s="167"/>
      <c r="D35" s="147" t="s">
        <v>16</v>
      </c>
      <c r="E35" s="148"/>
      <c r="F35" s="148"/>
      <c r="G35" s="126" t="str">
        <f t="shared" si="1"/>
        <v/>
      </c>
      <c r="H35" s="95"/>
      <c r="I35" s="120"/>
      <c r="J35" s="95"/>
      <c r="K35" s="168" t="s">
        <v>14</v>
      </c>
      <c r="L35" s="96"/>
      <c r="M35" s="168" t="s">
        <v>14</v>
      </c>
      <c r="N35" s="110">
        <v>1</v>
      </c>
      <c r="O35" s="168"/>
      <c r="P35" s="169">
        <f t="shared" si="0"/>
        <v>1</v>
      </c>
      <c r="Q35" s="168"/>
      <c r="R35" s="127">
        <v>0.3</v>
      </c>
      <c r="S35" s="170"/>
      <c r="T35" s="126">
        <f t="shared" ref="T35:T58" si="4">J35*L35*N35</f>
        <v>0</v>
      </c>
      <c r="U35" s="126">
        <f t="shared" si="2"/>
        <v>0</v>
      </c>
      <c r="V35" s="170"/>
      <c r="W35" s="171">
        <f t="shared" si="3"/>
        <v>0</v>
      </c>
      <c r="X35" s="128"/>
      <c r="Y35" s="225"/>
      <c r="Z35" s="220"/>
      <c r="AA35" s="221"/>
      <c r="AB35" s="220"/>
      <c r="AC35" s="220"/>
      <c r="AO35" s="115"/>
      <c r="AP35" s="125"/>
      <c r="AQ35" s="125"/>
    </row>
    <row r="36" spans="2:43" ht="15.75">
      <c r="B36" s="160"/>
      <c r="C36" s="300" t="s">
        <v>604</v>
      </c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1"/>
      <c r="X36" s="128"/>
      <c r="Y36" s="225"/>
      <c r="Z36" s="220"/>
      <c r="AA36" s="221"/>
      <c r="AB36" s="220"/>
      <c r="AC36" s="220"/>
      <c r="AO36" s="115"/>
      <c r="AP36" s="125"/>
      <c r="AQ36" s="125"/>
    </row>
    <row r="37" spans="2:43" ht="15.75">
      <c r="B37" s="160"/>
      <c r="C37" s="172"/>
      <c r="D37" s="147" t="s">
        <v>17</v>
      </c>
      <c r="E37" s="148"/>
      <c r="F37" s="148"/>
      <c r="G37" s="126" t="str">
        <f t="shared" ref="G37:G38" si="5">IF(ISNUMBER(L37),IF(L37&gt;R37,"NE","ANO"),"")</f>
        <v/>
      </c>
      <c r="H37" s="95"/>
      <c r="I37" s="120"/>
      <c r="J37" s="95"/>
      <c r="K37" s="168" t="s">
        <v>14</v>
      </c>
      <c r="L37" s="96"/>
      <c r="M37" s="168" t="s">
        <v>14</v>
      </c>
      <c r="N37" s="110">
        <v>0.6</v>
      </c>
      <c r="O37" s="168"/>
      <c r="P37" s="169">
        <f t="shared" si="0"/>
        <v>0.6</v>
      </c>
      <c r="Q37" s="168"/>
      <c r="R37" s="127">
        <v>0.45</v>
      </c>
      <c r="S37" s="170"/>
      <c r="T37" s="126">
        <f t="shared" si="4"/>
        <v>0</v>
      </c>
      <c r="U37" s="126">
        <f t="shared" si="2"/>
        <v>0</v>
      </c>
      <c r="V37" s="170"/>
      <c r="W37" s="171">
        <f t="shared" si="3"/>
        <v>0</v>
      </c>
      <c r="X37" s="128"/>
      <c r="Y37" s="225"/>
      <c r="Z37" s="220"/>
      <c r="AA37" s="221"/>
      <c r="AB37" s="220"/>
      <c r="AC37" s="220"/>
      <c r="AO37" s="115"/>
      <c r="AP37" s="125"/>
      <c r="AQ37" s="125"/>
    </row>
    <row r="38" spans="2:43" ht="15.75">
      <c r="B38" s="160"/>
      <c r="C38" s="172"/>
      <c r="D38" s="147" t="s">
        <v>18</v>
      </c>
      <c r="E38" s="148"/>
      <c r="F38" s="148"/>
      <c r="G38" s="126" t="str">
        <f t="shared" si="5"/>
        <v/>
      </c>
      <c r="H38" s="95"/>
      <c r="I38" s="120"/>
      <c r="J38" s="95"/>
      <c r="K38" s="168" t="s">
        <v>14</v>
      </c>
      <c r="L38" s="96"/>
      <c r="M38" s="168" t="s">
        <v>14</v>
      </c>
      <c r="N38" s="110">
        <v>0.6</v>
      </c>
      <c r="O38" s="168"/>
      <c r="P38" s="169">
        <f t="shared" si="0"/>
        <v>0.6</v>
      </c>
      <c r="Q38" s="168"/>
      <c r="R38" s="127">
        <v>0.45</v>
      </c>
      <c r="S38" s="170"/>
      <c r="T38" s="126">
        <f t="shared" si="4"/>
        <v>0</v>
      </c>
      <c r="U38" s="126">
        <f t="shared" si="2"/>
        <v>0</v>
      </c>
      <c r="V38" s="170"/>
      <c r="W38" s="171">
        <f t="shared" si="3"/>
        <v>0</v>
      </c>
      <c r="X38" s="128"/>
      <c r="Y38" s="225"/>
      <c r="Z38" s="220"/>
      <c r="AA38" s="221"/>
      <c r="AB38" s="220" t="s">
        <v>560</v>
      </c>
      <c r="AC38" s="220" t="s">
        <v>558</v>
      </c>
      <c r="AO38" s="115"/>
      <c r="AP38" s="125"/>
      <c r="AQ38" s="125"/>
    </row>
    <row r="39" spans="2:43" ht="15.75">
      <c r="B39" s="160"/>
      <c r="C39" s="300" t="s">
        <v>605</v>
      </c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1"/>
      <c r="X39" s="128"/>
      <c r="Y39" s="225"/>
      <c r="Z39" s="220"/>
      <c r="AA39" s="221"/>
      <c r="AB39" s="220"/>
      <c r="AC39" s="220"/>
      <c r="AO39" s="115"/>
      <c r="AP39" s="125"/>
      <c r="AQ39" s="125"/>
    </row>
    <row r="40" spans="2:43" ht="15.75">
      <c r="B40" s="160"/>
      <c r="C40" s="173"/>
      <c r="D40" s="147" t="s">
        <v>19</v>
      </c>
      <c r="E40" s="148"/>
      <c r="F40" s="148"/>
      <c r="G40" s="126" t="str">
        <f t="shared" ref="G40:G41" si="6">IF(ISNUMBER(L40),IF(L40&gt;R40,"NE","ANO"),"")</f>
        <v/>
      </c>
      <c r="H40" s="95"/>
      <c r="I40" s="120"/>
      <c r="J40" s="95"/>
      <c r="K40" s="168" t="s">
        <v>14</v>
      </c>
      <c r="L40" s="96"/>
      <c r="M40" s="168" t="s">
        <v>14</v>
      </c>
      <c r="N40" s="110">
        <v>1</v>
      </c>
      <c r="O40" s="168"/>
      <c r="P40" s="169">
        <f t="shared" si="0"/>
        <v>1</v>
      </c>
      <c r="Q40" s="168"/>
      <c r="R40" s="127">
        <v>0.24</v>
      </c>
      <c r="S40" s="170"/>
      <c r="T40" s="126">
        <f t="shared" si="4"/>
        <v>0</v>
      </c>
      <c r="U40" s="126">
        <f t="shared" si="2"/>
        <v>0</v>
      </c>
      <c r="V40" s="170"/>
      <c r="W40" s="171">
        <f t="shared" si="3"/>
        <v>0</v>
      </c>
      <c r="X40" s="128"/>
      <c r="Y40" s="225"/>
      <c r="Z40" s="220"/>
      <c r="AA40" s="221"/>
      <c r="AB40" s="226" t="s">
        <v>619</v>
      </c>
      <c r="AC40" s="227">
        <v>5</v>
      </c>
      <c r="AO40" s="115"/>
      <c r="AP40" s="125"/>
      <c r="AQ40" s="125"/>
    </row>
    <row r="41" spans="2:43" ht="15.75">
      <c r="B41" s="160"/>
      <c r="C41" s="173"/>
      <c r="D41" s="147" t="s">
        <v>506</v>
      </c>
      <c r="E41" s="148"/>
      <c r="F41" s="148"/>
      <c r="G41" s="126" t="str">
        <f t="shared" si="6"/>
        <v/>
      </c>
      <c r="H41" s="95"/>
      <c r="I41" s="120"/>
      <c r="J41" s="95"/>
      <c r="K41" s="168" t="s">
        <v>14</v>
      </c>
      <c r="L41" s="96"/>
      <c r="M41" s="168" t="s">
        <v>14</v>
      </c>
      <c r="N41" s="110">
        <v>1</v>
      </c>
      <c r="O41" s="168"/>
      <c r="P41" s="169">
        <f t="shared" si="0"/>
        <v>1</v>
      </c>
      <c r="Q41" s="168"/>
      <c r="R41" s="127">
        <v>0.24</v>
      </c>
      <c r="S41" s="170"/>
      <c r="T41" s="126">
        <f t="shared" si="4"/>
        <v>0</v>
      </c>
      <c r="U41" s="126">
        <f t="shared" si="2"/>
        <v>0</v>
      </c>
      <c r="V41" s="170"/>
      <c r="W41" s="171">
        <f t="shared" si="3"/>
        <v>0</v>
      </c>
      <c r="X41" s="128"/>
      <c r="Y41" s="225"/>
      <c r="Z41" s="220"/>
      <c r="AA41" s="221"/>
      <c r="AB41" s="226" t="s">
        <v>561</v>
      </c>
      <c r="AC41" s="227">
        <v>3.5</v>
      </c>
      <c r="AO41" s="115"/>
      <c r="AP41" s="125"/>
      <c r="AQ41" s="125"/>
    </row>
    <row r="42" spans="2:43" ht="15.75">
      <c r="B42" s="160"/>
      <c r="C42" s="300" t="s">
        <v>648</v>
      </c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1"/>
      <c r="X42" s="128"/>
      <c r="Y42" s="225"/>
      <c r="Z42" s="220"/>
      <c r="AA42" s="221"/>
      <c r="AB42" s="226" t="s">
        <v>562</v>
      </c>
      <c r="AC42" s="227">
        <v>2</v>
      </c>
      <c r="AO42" s="115"/>
      <c r="AP42" s="125"/>
      <c r="AQ42" s="125"/>
    </row>
    <row r="43" spans="2:43" ht="15.75">
      <c r="B43" s="160"/>
      <c r="C43" s="173"/>
      <c r="D43" s="147" t="s">
        <v>20</v>
      </c>
      <c r="E43" s="148"/>
      <c r="F43" s="148"/>
      <c r="G43" s="126" t="str">
        <f>IF(ISNUMBER(L43),IF(L43&gt;R43,"NE","ANO"),"")</f>
        <v/>
      </c>
      <c r="H43" s="95"/>
      <c r="I43" s="120"/>
      <c r="J43" s="95"/>
      <c r="K43" s="168" t="s">
        <v>14</v>
      </c>
      <c r="L43" s="96"/>
      <c r="M43" s="168" t="s">
        <v>14</v>
      </c>
      <c r="N43" s="110">
        <v>0.9</v>
      </c>
      <c r="O43" s="168"/>
      <c r="P43" s="169">
        <f t="shared" si="0"/>
        <v>0.9</v>
      </c>
      <c r="Q43" s="168"/>
      <c r="R43" s="127">
        <v>0.3</v>
      </c>
      <c r="S43" s="170"/>
      <c r="T43" s="126">
        <f t="shared" si="4"/>
        <v>0</v>
      </c>
      <c r="U43" s="126">
        <f t="shared" si="2"/>
        <v>0</v>
      </c>
      <c r="V43" s="170"/>
      <c r="W43" s="171">
        <f t="shared" si="3"/>
        <v>0</v>
      </c>
      <c r="X43" s="128"/>
      <c r="Y43" s="225"/>
      <c r="Z43" s="220"/>
      <c r="AA43" s="221"/>
      <c r="AB43" s="226" t="s">
        <v>618</v>
      </c>
      <c r="AC43" s="227">
        <v>1.5</v>
      </c>
      <c r="AO43" s="115"/>
      <c r="AP43" s="125"/>
      <c r="AQ43" s="125"/>
    </row>
    <row r="44" spans="2:43" ht="15.75">
      <c r="B44" s="160"/>
      <c r="C44" s="300" t="s">
        <v>475</v>
      </c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1"/>
      <c r="X44" s="128"/>
      <c r="Y44" s="225"/>
      <c r="Z44" s="220"/>
      <c r="AA44" s="221"/>
      <c r="AB44" s="226" t="s">
        <v>617</v>
      </c>
      <c r="AC44" s="227">
        <v>0.6</v>
      </c>
      <c r="AO44" s="115"/>
      <c r="AP44" s="125"/>
      <c r="AQ44" s="125"/>
    </row>
    <row r="45" spans="2:43" ht="15.75">
      <c r="B45" s="160"/>
      <c r="C45" s="174"/>
      <c r="D45" s="147" t="s">
        <v>21</v>
      </c>
      <c r="E45" s="148"/>
      <c r="F45" s="148"/>
      <c r="G45" s="126" t="str">
        <f>IF(ISNUMBER(L45),IF(L45&gt;R45,"NE","ANO"),"")</f>
        <v/>
      </c>
      <c r="H45" s="95"/>
      <c r="I45" s="120"/>
      <c r="J45" s="95"/>
      <c r="K45" s="168" t="s">
        <v>14</v>
      </c>
      <c r="L45" s="96"/>
      <c r="M45" s="168" t="s">
        <v>14</v>
      </c>
      <c r="N45" s="129">
        <f>IF(L45&gt;AB51,AC51,IF(L45&gt;AB53,AC53,IF(L45&gt;AB54,AC54,IF(L45&gt;AB55,AC55,AC58))))</f>
        <v>0.6</v>
      </c>
      <c r="O45" s="168"/>
      <c r="P45" s="127">
        <v>0.45</v>
      </c>
      <c r="Q45" s="168"/>
      <c r="R45" s="127">
        <v>0.45</v>
      </c>
      <c r="S45" s="170"/>
      <c r="T45" s="126">
        <f>J45*L45*N45</f>
        <v>0</v>
      </c>
      <c r="U45" s="126">
        <f t="shared" si="2"/>
        <v>0</v>
      </c>
      <c r="V45" s="170"/>
      <c r="W45" s="171">
        <f t="shared" si="3"/>
        <v>0</v>
      </c>
      <c r="X45" s="128"/>
      <c r="Y45" s="225"/>
      <c r="Z45" s="220"/>
      <c r="AA45" s="221"/>
      <c r="AB45" s="220"/>
      <c r="AC45" s="220"/>
      <c r="AO45" s="115"/>
      <c r="AP45" s="125"/>
      <c r="AQ45" s="125"/>
    </row>
    <row r="46" spans="2:43" ht="15.75">
      <c r="B46" s="160"/>
      <c r="C46" s="300" t="s">
        <v>609</v>
      </c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300"/>
      <c r="S46" s="300"/>
      <c r="T46" s="300"/>
      <c r="U46" s="300"/>
      <c r="V46" s="300"/>
      <c r="W46" s="301"/>
      <c r="X46" s="128"/>
      <c r="Y46" s="225"/>
      <c r="Z46" s="220"/>
      <c r="AA46" s="221"/>
      <c r="AB46" s="220"/>
      <c r="AC46" s="220"/>
      <c r="AO46" s="115"/>
      <c r="AP46" s="125"/>
      <c r="AQ46" s="125"/>
    </row>
    <row r="47" spans="2:43" ht="15.75">
      <c r="B47" s="160"/>
      <c r="C47" s="174"/>
      <c r="D47" s="147" t="s">
        <v>508</v>
      </c>
      <c r="E47" s="148"/>
      <c r="F47" s="148"/>
      <c r="G47" s="126" t="str">
        <f>IF(ISNUMBER(L47),IF(L47&gt;R47,"NE","ANO"),"")</f>
        <v/>
      </c>
      <c r="H47" s="95"/>
      <c r="I47" s="120"/>
      <c r="J47" s="95"/>
      <c r="K47" s="168" t="s">
        <v>14</v>
      </c>
      <c r="L47" s="96"/>
      <c r="M47" s="168" t="s">
        <v>14</v>
      </c>
      <c r="N47" s="110">
        <v>0.6</v>
      </c>
      <c r="O47" s="168"/>
      <c r="P47" s="169">
        <f>N47</f>
        <v>0.6</v>
      </c>
      <c r="Q47" s="168"/>
      <c r="R47" s="127">
        <v>0.6</v>
      </c>
      <c r="S47" s="170"/>
      <c r="T47" s="126">
        <f t="shared" si="4"/>
        <v>0</v>
      </c>
      <c r="U47" s="126">
        <f t="shared" si="2"/>
        <v>0</v>
      </c>
      <c r="V47" s="170"/>
      <c r="W47" s="171">
        <f t="shared" si="3"/>
        <v>0</v>
      </c>
      <c r="X47" s="128"/>
      <c r="Y47" s="225"/>
      <c r="Z47" s="220"/>
      <c r="AA47" s="221"/>
      <c r="AB47" s="220"/>
      <c r="AC47" s="220"/>
      <c r="AO47" s="115"/>
      <c r="AP47" s="125"/>
      <c r="AQ47" s="125"/>
    </row>
    <row r="48" spans="2:43" ht="15.75">
      <c r="B48" s="160"/>
      <c r="C48" s="300" t="s">
        <v>507</v>
      </c>
      <c r="D48" s="300"/>
      <c r="E48" s="300"/>
      <c r="F48" s="300"/>
      <c r="G48" s="300"/>
      <c r="H48" s="300"/>
      <c r="I48" s="300"/>
      <c r="J48" s="300"/>
      <c r="K48" s="300"/>
      <c r="L48" s="300"/>
      <c r="M48" s="300"/>
      <c r="N48" s="300"/>
      <c r="O48" s="300"/>
      <c r="P48" s="300"/>
      <c r="Q48" s="300"/>
      <c r="R48" s="300"/>
      <c r="S48" s="300"/>
      <c r="T48" s="300"/>
      <c r="U48" s="300"/>
      <c r="V48" s="300"/>
      <c r="W48" s="301"/>
      <c r="X48" s="128"/>
      <c r="Y48" s="225"/>
      <c r="Z48" s="220"/>
      <c r="AA48" s="221"/>
      <c r="AB48" s="220"/>
      <c r="AC48" s="220"/>
      <c r="AO48" s="115"/>
      <c r="AP48" s="125"/>
      <c r="AQ48" s="125"/>
    </row>
    <row r="49" spans="2:43" ht="15.75">
      <c r="B49" s="160"/>
      <c r="C49" s="174"/>
      <c r="D49" s="147" t="s">
        <v>507</v>
      </c>
      <c r="E49" s="148"/>
      <c r="F49" s="148"/>
      <c r="G49" s="126" t="str">
        <f>IF(ISNUMBER(L49),IF(L49&gt;R49,"NE","ANO"),"")</f>
        <v/>
      </c>
      <c r="H49" s="95"/>
      <c r="I49" s="120"/>
      <c r="J49" s="95"/>
      <c r="K49" s="168" t="s">
        <v>14</v>
      </c>
      <c r="L49" s="96"/>
      <c r="M49" s="168" t="s">
        <v>14</v>
      </c>
      <c r="N49" s="129">
        <f>N45*0.8</f>
        <v>0.48</v>
      </c>
      <c r="O49" s="168"/>
      <c r="P49" s="169">
        <f>N49</f>
        <v>0.48</v>
      </c>
      <c r="Q49" s="168"/>
      <c r="R49" s="127">
        <v>0.45</v>
      </c>
      <c r="S49" s="170"/>
      <c r="T49" s="126">
        <f t="shared" si="4"/>
        <v>0</v>
      </c>
      <c r="U49" s="126">
        <f t="shared" si="2"/>
        <v>0</v>
      </c>
      <c r="V49" s="170"/>
      <c r="W49" s="171">
        <f t="shared" si="3"/>
        <v>0</v>
      </c>
      <c r="X49" s="128"/>
      <c r="Y49" s="225"/>
      <c r="Z49" s="220"/>
      <c r="AA49" s="220"/>
      <c r="AB49" s="228" t="s">
        <v>10</v>
      </c>
      <c r="AC49" s="228" t="s">
        <v>11</v>
      </c>
      <c r="AO49" s="115"/>
      <c r="AP49" s="125"/>
      <c r="AQ49" s="125"/>
    </row>
    <row r="50" spans="2:43" ht="15.75">
      <c r="B50" s="160"/>
      <c r="C50" s="300" t="s">
        <v>608</v>
      </c>
      <c r="D50" s="300"/>
      <c r="E50" s="300"/>
      <c r="F50" s="300"/>
      <c r="G50" s="300"/>
      <c r="H50" s="300"/>
      <c r="I50" s="300"/>
      <c r="J50" s="300"/>
      <c r="K50" s="300"/>
      <c r="L50" s="300"/>
      <c r="M50" s="300"/>
      <c r="N50" s="300"/>
      <c r="O50" s="300"/>
      <c r="P50" s="300"/>
      <c r="Q50" s="300"/>
      <c r="R50" s="300"/>
      <c r="S50" s="300"/>
      <c r="T50" s="300"/>
      <c r="U50" s="300"/>
      <c r="V50" s="300"/>
      <c r="W50" s="301"/>
      <c r="X50" s="128"/>
      <c r="Y50" s="225"/>
      <c r="Z50" s="220"/>
      <c r="AA50" s="220"/>
      <c r="AB50" s="228"/>
      <c r="AC50" s="228"/>
      <c r="AO50" s="115"/>
      <c r="AP50" s="125"/>
      <c r="AQ50" s="125"/>
    </row>
    <row r="51" spans="2:43" ht="15.75">
      <c r="B51" s="160"/>
      <c r="C51" s="175"/>
      <c r="D51" s="147" t="s">
        <v>22</v>
      </c>
      <c r="E51" s="148"/>
      <c r="F51" s="148"/>
      <c r="G51" s="126" t="str">
        <f>IF(ISNUMBER(L51),IF(L51&gt;R51,"NE","ANO"),"")</f>
        <v/>
      </c>
      <c r="H51" s="95"/>
      <c r="I51" s="120"/>
      <c r="J51" s="95"/>
      <c r="K51" s="168" t="s">
        <v>14</v>
      </c>
      <c r="L51" s="96"/>
      <c r="M51" s="168" t="s">
        <v>14</v>
      </c>
      <c r="N51" s="110">
        <v>0.75</v>
      </c>
      <c r="O51" s="168"/>
      <c r="P51" s="169">
        <f>N51</f>
        <v>0.75</v>
      </c>
      <c r="Q51" s="168"/>
      <c r="R51" s="127">
        <v>0.6</v>
      </c>
      <c r="S51" s="170"/>
      <c r="T51" s="126">
        <f t="shared" si="4"/>
        <v>0</v>
      </c>
      <c r="U51" s="126">
        <f t="shared" si="2"/>
        <v>0</v>
      </c>
      <c r="V51" s="170"/>
      <c r="W51" s="171">
        <f t="shared" si="3"/>
        <v>0</v>
      </c>
      <c r="X51" s="128"/>
      <c r="Y51" s="225"/>
      <c r="Z51" s="220"/>
      <c r="AA51" s="220"/>
      <c r="AB51" s="226">
        <v>2.95</v>
      </c>
      <c r="AC51" s="226">
        <v>0.22</v>
      </c>
      <c r="AO51" s="115"/>
      <c r="AP51" s="130"/>
      <c r="AQ51" s="130"/>
    </row>
    <row r="52" spans="2:43" ht="15.75">
      <c r="B52" s="160"/>
      <c r="C52" s="300" t="s">
        <v>607</v>
      </c>
      <c r="D52" s="300"/>
      <c r="E52" s="300"/>
      <c r="F52" s="300"/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  <c r="S52" s="300"/>
      <c r="T52" s="300"/>
      <c r="U52" s="300"/>
      <c r="V52" s="300"/>
      <c r="W52" s="301"/>
      <c r="X52" s="128"/>
      <c r="Y52" s="225"/>
      <c r="Z52" s="220"/>
      <c r="AA52" s="220"/>
      <c r="AB52" s="226"/>
      <c r="AC52" s="226"/>
      <c r="AO52" s="115"/>
      <c r="AP52" s="130"/>
      <c r="AQ52" s="130"/>
    </row>
    <row r="53" spans="2:43" ht="15.75">
      <c r="B53" s="160"/>
      <c r="C53" s="176"/>
      <c r="D53" s="147" t="s">
        <v>23</v>
      </c>
      <c r="E53" s="148"/>
      <c r="F53" s="148"/>
      <c r="G53" s="126" t="str">
        <f t="shared" ref="G53:G55" si="7">IF(ISNUMBER(L53),IF(L53&gt;R53,"NE","ANO"),"")</f>
        <v/>
      </c>
      <c r="H53" s="95"/>
      <c r="I53" s="120"/>
      <c r="J53" s="95"/>
      <c r="K53" s="168" t="s">
        <v>14</v>
      </c>
      <c r="L53" s="96"/>
      <c r="M53" s="168" t="s">
        <v>14</v>
      </c>
      <c r="N53" s="110">
        <v>1</v>
      </c>
      <c r="O53" s="168"/>
      <c r="P53" s="169">
        <f>N53</f>
        <v>1</v>
      </c>
      <c r="Q53" s="168"/>
      <c r="R53" s="127">
        <v>1.5</v>
      </c>
      <c r="S53" s="170"/>
      <c r="T53" s="126">
        <f t="shared" si="4"/>
        <v>0</v>
      </c>
      <c r="U53" s="126">
        <f t="shared" si="2"/>
        <v>0</v>
      </c>
      <c r="V53" s="170"/>
      <c r="W53" s="171">
        <f t="shared" si="3"/>
        <v>0</v>
      </c>
      <c r="X53" s="128"/>
      <c r="Y53" s="225"/>
      <c r="Z53" s="220"/>
      <c r="AA53" s="220"/>
      <c r="AB53" s="226">
        <v>1.95</v>
      </c>
      <c r="AC53" s="226">
        <v>0.28000000000000003</v>
      </c>
      <c r="AO53" s="115"/>
      <c r="AP53" s="131"/>
      <c r="AQ53" s="131"/>
    </row>
    <row r="54" spans="2:43" ht="15.75">
      <c r="B54" s="160"/>
      <c r="C54" s="176"/>
      <c r="D54" s="147" t="s">
        <v>24</v>
      </c>
      <c r="E54" s="148"/>
      <c r="F54" s="148"/>
      <c r="G54" s="126" t="str">
        <f t="shared" si="7"/>
        <v/>
      </c>
      <c r="H54" s="95"/>
      <c r="I54" s="120"/>
      <c r="J54" s="95"/>
      <c r="K54" s="168" t="s">
        <v>14</v>
      </c>
      <c r="L54" s="96"/>
      <c r="M54" s="168" t="s">
        <v>14</v>
      </c>
      <c r="N54" s="110">
        <v>1</v>
      </c>
      <c r="O54" s="168"/>
      <c r="P54" s="169">
        <v>1</v>
      </c>
      <c r="Q54" s="168"/>
      <c r="R54" s="127">
        <v>1.5</v>
      </c>
      <c r="S54" s="170"/>
      <c r="T54" s="126">
        <f t="shared" si="4"/>
        <v>0</v>
      </c>
      <c r="U54" s="126">
        <f t="shared" si="2"/>
        <v>0</v>
      </c>
      <c r="V54" s="170"/>
      <c r="W54" s="171">
        <f t="shared" si="3"/>
        <v>0</v>
      </c>
      <c r="X54" s="128"/>
      <c r="Y54" s="225"/>
      <c r="Z54" s="220"/>
      <c r="AA54" s="220"/>
      <c r="AB54" s="226">
        <v>0.95</v>
      </c>
      <c r="AC54" s="226">
        <v>0.4</v>
      </c>
      <c r="AO54" s="115"/>
      <c r="AP54" s="131"/>
      <c r="AQ54" s="131"/>
    </row>
    <row r="55" spans="2:43" ht="15.75">
      <c r="B55" s="160"/>
      <c r="C55" s="176"/>
      <c r="D55" s="147" t="s">
        <v>25</v>
      </c>
      <c r="E55" s="148"/>
      <c r="F55" s="148"/>
      <c r="G55" s="126" t="str">
        <f t="shared" si="7"/>
        <v/>
      </c>
      <c r="H55" s="95"/>
      <c r="I55" s="120"/>
      <c r="J55" s="95"/>
      <c r="K55" s="168" t="s">
        <v>14</v>
      </c>
      <c r="L55" s="96"/>
      <c r="M55" s="168" t="s">
        <v>14</v>
      </c>
      <c r="N55" s="110">
        <v>1</v>
      </c>
      <c r="O55" s="168"/>
      <c r="P55" s="169">
        <v>1</v>
      </c>
      <c r="Q55" s="168"/>
      <c r="R55" s="127">
        <v>1.5</v>
      </c>
      <c r="S55" s="170"/>
      <c r="T55" s="126">
        <f t="shared" si="4"/>
        <v>0</v>
      </c>
      <c r="U55" s="126">
        <f t="shared" si="2"/>
        <v>0</v>
      </c>
      <c r="V55" s="170"/>
      <c r="W55" s="171">
        <f t="shared" si="3"/>
        <v>0</v>
      </c>
      <c r="X55" s="128"/>
      <c r="Y55" s="225"/>
      <c r="Z55" s="220"/>
      <c r="AA55" s="220"/>
      <c r="AB55" s="226">
        <v>0.49</v>
      </c>
      <c r="AC55" s="226">
        <v>0.5</v>
      </c>
      <c r="AO55" s="115"/>
      <c r="AP55" s="131"/>
      <c r="AQ55" s="131"/>
    </row>
    <row r="56" spans="2:43" ht="15.75">
      <c r="B56" s="160"/>
      <c r="C56" s="300" t="s">
        <v>606</v>
      </c>
      <c r="D56" s="300"/>
      <c r="E56" s="300"/>
      <c r="F56" s="300"/>
      <c r="G56" s="300"/>
      <c r="H56" s="300"/>
      <c r="I56" s="300"/>
      <c r="J56" s="300"/>
      <c r="K56" s="300"/>
      <c r="L56" s="300"/>
      <c r="M56" s="300"/>
      <c r="N56" s="300"/>
      <c r="O56" s="300"/>
      <c r="P56" s="300"/>
      <c r="Q56" s="300"/>
      <c r="R56" s="300"/>
      <c r="S56" s="300"/>
      <c r="T56" s="300"/>
      <c r="U56" s="300"/>
      <c r="V56" s="300"/>
      <c r="W56" s="301"/>
      <c r="X56" s="128"/>
      <c r="Y56" s="225"/>
      <c r="Z56" s="220"/>
      <c r="AA56" s="220"/>
      <c r="AB56" s="226"/>
      <c r="AC56" s="226"/>
      <c r="AO56" s="115"/>
      <c r="AP56" s="131"/>
      <c r="AQ56" s="131"/>
    </row>
    <row r="57" spans="2:43" ht="15.75">
      <c r="B57" s="160"/>
      <c r="C57" s="176"/>
      <c r="D57" s="147" t="s">
        <v>610</v>
      </c>
      <c r="E57" s="148"/>
      <c r="F57" s="148"/>
      <c r="G57" s="126" t="str">
        <f t="shared" ref="G57:G58" si="8">IF(ISNUMBER(L57),IF(L57&gt;R57,"NE","ANO"),"")</f>
        <v/>
      </c>
      <c r="H57" s="95"/>
      <c r="I57" s="120"/>
      <c r="J57" s="95"/>
      <c r="K57" s="168" t="s">
        <v>14</v>
      </c>
      <c r="L57" s="96"/>
      <c r="M57" s="168" t="s">
        <v>14</v>
      </c>
      <c r="N57" s="110">
        <v>1</v>
      </c>
      <c r="O57" s="168"/>
      <c r="P57" s="169">
        <f>N57</f>
        <v>1</v>
      </c>
      <c r="Q57" s="168"/>
      <c r="R57" s="127">
        <v>1.7</v>
      </c>
      <c r="S57" s="170"/>
      <c r="T57" s="126">
        <f t="shared" ref="T57" si="9">J57*L57*N57</f>
        <v>0</v>
      </c>
      <c r="U57" s="126">
        <f t="shared" ref="U57" si="10">IF(H57="x",J57*R57*0.7*N57,J57*L57*N57)</f>
        <v>0</v>
      </c>
      <c r="V57" s="170"/>
      <c r="W57" s="171">
        <f t="shared" ref="W57" si="11">J57*P57*R57</f>
        <v>0</v>
      </c>
      <c r="X57" s="128"/>
      <c r="Y57" s="225"/>
      <c r="Z57" s="220"/>
      <c r="AA57" s="220"/>
      <c r="AB57" s="226"/>
      <c r="AC57" s="226"/>
      <c r="AO57" s="115"/>
      <c r="AP57" s="131"/>
      <c r="AQ57" s="131"/>
    </row>
    <row r="58" spans="2:43" ht="15.75">
      <c r="B58" s="160"/>
      <c r="C58" s="176"/>
      <c r="D58" s="147" t="s">
        <v>611</v>
      </c>
      <c r="E58" s="148"/>
      <c r="F58" s="148"/>
      <c r="G58" s="126" t="str">
        <f t="shared" si="8"/>
        <v/>
      </c>
      <c r="H58" s="95"/>
      <c r="I58" s="120"/>
      <c r="J58" s="95"/>
      <c r="K58" s="168" t="s">
        <v>14</v>
      </c>
      <c r="L58" s="96"/>
      <c r="M58" s="168" t="s">
        <v>14</v>
      </c>
      <c r="N58" s="110">
        <v>1</v>
      </c>
      <c r="O58" s="168"/>
      <c r="P58" s="169">
        <f>N58</f>
        <v>1</v>
      </c>
      <c r="Q58" s="168"/>
      <c r="R58" s="127">
        <v>1.7</v>
      </c>
      <c r="S58" s="170"/>
      <c r="T58" s="126">
        <f t="shared" si="4"/>
        <v>0</v>
      </c>
      <c r="U58" s="126">
        <f t="shared" si="2"/>
        <v>0</v>
      </c>
      <c r="V58" s="170"/>
      <c r="W58" s="171">
        <f t="shared" si="3"/>
        <v>0</v>
      </c>
      <c r="X58" s="128"/>
      <c r="Y58" s="225"/>
      <c r="Z58" s="220"/>
      <c r="AA58" s="220"/>
      <c r="AB58" s="226">
        <v>0.25</v>
      </c>
      <c r="AC58" s="226">
        <v>0.6</v>
      </c>
      <c r="AO58" s="115"/>
      <c r="AP58" s="131"/>
      <c r="AQ58" s="131"/>
    </row>
    <row r="59" spans="2:43" ht="15.75">
      <c r="B59" s="160"/>
      <c r="C59" s="177"/>
      <c r="D59" s="132"/>
      <c r="E59" s="133"/>
      <c r="F59" s="133"/>
      <c r="G59" s="133"/>
      <c r="H59" s="134"/>
      <c r="I59" s="120"/>
      <c r="J59" s="135"/>
      <c r="K59" s="168"/>
      <c r="L59" s="136"/>
      <c r="M59" s="168"/>
      <c r="N59" s="137"/>
      <c r="O59" s="168"/>
      <c r="P59" s="169"/>
      <c r="Q59" s="169"/>
      <c r="R59" s="169"/>
      <c r="S59" s="169"/>
      <c r="T59" s="169"/>
      <c r="U59" s="169"/>
      <c r="V59" s="169"/>
      <c r="W59" s="178"/>
      <c r="X59" s="128"/>
      <c r="Y59" s="225"/>
      <c r="Z59" s="220"/>
      <c r="AA59" s="220"/>
      <c r="AB59" s="220"/>
      <c r="AC59" s="220"/>
      <c r="AO59" s="115"/>
      <c r="AP59" s="131"/>
      <c r="AQ59" s="131"/>
    </row>
    <row r="60" spans="2:43" ht="15.75">
      <c r="B60" s="160"/>
      <c r="C60" s="177"/>
      <c r="D60" s="138" t="s">
        <v>26</v>
      </c>
      <c r="E60" s="133"/>
      <c r="F60" s="133"/>
      <c r="G60" s="133"/>
      <c r="H60" s="139"/>
      <c r="I60" s="120"/>
      <c r="J60" s="140">
        <f>J61</f>
        <v>0</v>
      </c>
      <c r="K60" s="168" t="s">
        <v>14</v>
      </c>
      <c r="L60" s="141">
        <f>IF(J60&gt;0,INDEX($AC$61:$AC$67,MATCH($S$66,$AB$61:$AB$67,0)),0)</f>
        <v>0</v>
      </c>
      <c r="M60" s="168" t="s">
        <v>14</v>
      </c>
      <c r="N60" s="142">
        <v>1</v>
      </c>
      <c r="O60" s="168"/>
      <c r="P60" s="169">
        <f>N60</f>
        <v>1</v>
      </c>
      <c r="Q60" s="168"/>
      <c r="R60" s="127">
        <v>0.02</v>
      </c>
      <c r="S60" s="170"/>
      <c r="T60" s="126">
        <f>J60*L60*N60</f>
        <v>0</v>
      </c>
      <c r="U60" s="126">
        <f t="shared" ref="U60" si="12">J60*L60*N60</f>
        <v>0</v>
      </c>
      <c r="V60" s="170"/>
      <c r="W60" s="171">
        <f>J60*P60*R60</f>
        <v>0</v>
      </c>
      <c r="X60" s="128"/>
      <c r="Y60" s="225"/>
      <c r="Z60" s="220"/>
      <c r="AA60" s="221"/>
      <c r="AB60" s="220"/>
      <c r="AC60" s="221" t="s">
        <v>559</v>
      </c>
      <c r="AO60" s="115"/>
      <c r="AP60" s="131"/>
      <c r="AQ60" s="131"/>
    </row>
    <row r="61" spans="2:43" ht="15.75">
      <c r="B61" s="160"/>
      <c r="C61" s="179" t="s">
        <v>3</v>
      </c>
      <c r="D61" s="179"/>
      <c r="E61" s="179"/>
      <c r="F61" s="179"/>
      <c r="G61" s="179"/>
      <c r="H61" s="179"/>
      <c r="I61" s="179"/>
      <c r="J61" s="180">
        <f>SUM(J33:J58)</f>
        <v>0</v>
      </c>
      <c r="K61" s="123"/>
      <c r="L61" s="161"/>
      <c r="M61" s="123"/>
      <c r="O61" s="161" t="s">
        <v>3</v>
      </c>
      <c r="P61" s="123"/>
      <c r="Q61" s="181"/>
      <c r="R61" s="124"/>
      <c r="S61" s="124"/>
      <c r="T61" s="124"/>
      <c r="U61" s="124"/>
      <c r="V61" s="124"/>
      <c r="W61" s="182"/>
      <c r="X61" s="143"/>
      <c r="Y61" s="229"/>
      <c r="Z61" s="215"/>
      <c r="AA61" s="221"/>
      <c r="AB61" s="226" t="s">
        <v>551</v>
      </c>
      <c r="AC61" s="226">
        <v>0.02</v>
      </c>
      <c r="AO61" s="115"/>
      <c r="AP61" s="131"/>
      <c r="AQ61" s="131"/>
    </row>
    <row r="62" spans="2:43" ht="19.5" thickBot="1">
      <c r="B62" s="183" t="s">
        <v>27</v>
      </c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5"/>
      <c r="P62" s="185"/>
      <c r="Q62" s="185"/>
      <c r="R62" s="185"/>
      <c r="S62" s="186"/>
      <c r="T62" s="187">
        <f>SUM(T33:T60)</f>
        <v>0</v>
      </c>
      <c r="U62" s="187">
        <f>SUM(U33:U60)</f>
        <v>0</v>
      </c>
      <c r="V62" s="186"/>
      <c r="W62" s="188">
        <f>SUM(W33:W60)</f>
        <v>0</v>
      </c>
      <c r="X62" s="128"/>
      <c r="Y62" s="225"/>
      <c r="Z62" s="215"/>
      <c r="AA62" s="221"/>
      <c r="AB62" s="226" t="s">
        <v>552</v>
      </c>
      <c r="AC62" s="226">
        <v>0.02</v>
      </c>
      <c r="AQ62" s="131"/>
    </row>
    <row r="63" spans="2:43" ht="16.5" thickBot="1">
      <c r="B63" s="189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400"/>
      <c r="O63" s="400"/>
      <c r="P63" s="400"/>
      <c r="Q63" s="400"/>
      <c r="R63" s="400"/>
      <c r="S63" s="400"/>
      <c r="T63" s="401"/>
      <c r="U63" s="401"/>
      <c r="V63" s="400"/>
      <c r="W63" s="402" t="s">
        <v>567</v>
      </c>
      <c r="X63" s="115"/>
      <c r="Y63" s="230"/>
      <c r="Z63" s="215"/>
      <c r="AA63" s="221"/>
      <c r="AB63" s="226" t="s">
        <v>553</v>
      </c>
      <c r="AC63" s="226">
        <v>0.03</v>
      </c>
    </row>
    <row r="64" spans="2:43" ht="20.25" thickTop="1" thickBot="1">
      <c r="B64" s="190" t="s">
        <v>34</v>
      </c>
      <c r="C64" s="191"/>
      <c r="D64" s="191"/>
      <c r="E64" s="191"/>
      <c r="F64" s="191"/>
      <c r="G64" s="191"/>
      <c r="H64" s="192"/>
      <c r="I64" s="179"/>
      <c r="J64" s="120"/>
      <c r="K64" s="179"/>
      <c r="N64" s="220"/>
      <c r="O64" s="220"/>
      <c r="P64" s="220"/>
      <c r="Q64" s="223"/>
      <c r="R64" s="403"/>
      <c r="S64" s="404"/>
      <c r="T64" s="220"/>
      <c r="U64" s="404"/>
      <c r="V64" s="404"/>
      <c r="W64" s="405" t="str">
        <f>IF(J60&gt;0,(SUMPRODUCT(J33:J58,R33:R58,P33:P58)/SUMPRODUCT(J33:J58)+R60)*W68,"")</f>
        <v/>
      </c>
      <c r="X64" s="115"/>
      <c r="Y64" s="230"/>
      <c r="Z64" s="215"/>
      <c r="AA64" s="221"/>
      <c r="AB64" s="226" t="s">
        <v>557</v>
      </c>
      <c r="AC64" s="226">
        <v>0.04</v>
      </c>
    </row>
    <row r="65" spans="2:40" ht="17.25" thickTop="1" thickBot="1">
      <c r="B65" s="194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406"/>
      <c r="O65" s="406"/>
      <c r="P65" s="406"/>
      <c r="Q65" s="406"/>
      <c r="R65" s="406"/>
      <c r="S65" s="406"/>
      <c r="T65" s="407" t="s">
        <v>550</v>
      </c>
      <c r="U65" s="407" t="s">
        <v>548</v>
      </c>
      <c r="V65" s="406"/>
      <c r="W65" s="408" t="s">
        <v>568</v>
      </c>
      <c r="X65" s="115"/>
      <c r="Y65" s="230"/>
      <c r="Z65" s="215"/>
      <c r="AA65" s="221"/>
      <c r="AB65" s="226" t="s">
        <v>554</v>
      </c>
      <c r="AC65" s="226">
        <v>0.06</v>
      </c>
    </row>
    <row r="66" spans="2:40" ht="20.25" thickTop="1" thickBot="1">
      <c r="B66" s="190" t="s">
        <v>33</v>
      </c>
      <c r="C66" s="191"/>
      <c r="D66" s="191"/>
      <c r="E66" s="191"/>
      <c r="F66" s="191"/>
      <c r="G66" s="191"/>
      <c r="H66" s="192"/>
      <c r="I66" s="179"/>
      <c r="J66" s="120"/>
      <c r="K66" s="179"/>
      <c r="L66" s="179"/>
      <c r="M66" s="179"/>
      <c r="N66" s="235">
        <f>IF(ISNUMBER(U68),IF(U68&gt;2.0001,0,1),0)</f>
        <v>0</v>
      </c>
      <c r="O66" s="409"/>
      <c r="P66" s="404" t="s">
        <v>480</v>
      </c>
      <c r="Q66" s="404"/>
      <c r="R66" s="220"/>
      <c r="S66" s="410" t="e">
        <f>IF(S67&gt;2.9,"G",IF(S67&gt;2.3,"F",IF(S67&gt;1.7,"E",IF(S67&gt;1.2,"D",IF(S67&gt;0.9,"C",IF(S67&gt;0.7,"B","A"))))))</f>
        <v>#DIV/0!</v>
      </c>
      <c r="T66" s="411" t="str">
        <f>IF(ISNUMBER(W64),IF(T68&gt;2.9,"G",IF(T68&gt;2.3,"F",IF(T68&gt;1.7,"E",IF(T68&gt;1.2,"D",IF(T68&gt;0.9,"C",IF(T68&gt;0.7,"B","A")))))),"")</f>
        <v/>
      </c>
      <c r="U66" s="411" t="str">
        <f>IF(ISNUMBER(W64),IF(U68&gt;2.9,"G",IF(U68&gt;2.3,"F",IF(U68&gt;1.7,"E",IF(U68&gt;1.2,"D",IF(U68&gt;0.9,"C",IF(U68&gt;0.7,"B","A")))))),"")</f>
        <v/>
      </c>
      <c r="V66" s="404"/>
      <c r="W66" s="412" t="str">
        <f>U66</f>
        <v/>
      </c>
      <c r="X66" s="144"/>
      <c r="Y66" s="220"/>
      <c r="Z66" s="234"/>
      <c r="AA66" s="221"/>
      <c r="AB66" s="226" t="s">
        <v>555</v>
      </c>
      <c r="AC66" s="226">
        <v>7.0000000000000007E-2</v>
      </c>
      <c r="AN66" s="8"/>
    </row>
    <row r="67" spans="2:40" ht="20.25" thickTop="1" thickBot="1">
      <c r="B67" s="190"/>
      <c r="C67" s="191"/>
      <c r="D67" s="191"/>
      <c r="E67" s="191"/>
      <c r="F67" s="191"/>
      <c r="G67" s="191"/>
      <c r="H67" s="192"/>
      <c r="I67" s="179"/>
      <c r="J67" s="120"/>
      <c r="K67" s="179"/>
      <c r="L67" s="179"/>
      <c r="M67" s="179"/>
      <c r="N67" s="413"/>
      <c r="O67" s="409"/>
      <c r="P67" s="404"/>
      <c r="Q67" s="404"/>
      <c r="R67" s="220"/>
      <c r="S67" s="410" t="e">
        <f>SUM(T33:T58)/(0.7*SUM(W33:W58))</f>
        <v>#DIV/0!</v>
      </c>
      <c r="T67" s="414">
        <f>IF(J60=0,0,T62/J60)</f>
        <v>0</v>
      </c>
      <c r="U67" s="414">
        <f>IF(J60=0,0,U62/J60)</f>
        <v>0</v>
      </c>
      <c r="V67" s="404"/>
      <c r="W67" s="415"/>
      <c r="X67" s="144"/>
      <c r="Y67" s="231"/>
      <c r="Z67" s="215"/>
      <c r="AA67" s="221"/>
      <c r="AB67" s="226" t="s">
        <v>556</v>
      </c>
      <c r="AC67" s="226">
        <v>0.08</v>
      </c>
      <c r="AN67" s="8"/>
    </row>
    <row r="68" spans="2:40" ht="19.5" thickTop="1">
      <c r="B68" s="190"/>
      <c r="C68" s="191"/>
      <c r="D68" s="191"/>
      <c r="E68" s="156"/>
      <c r="F68" s="156"/>
      <c r="G68" s="156"/>
      <c r="H68" s="10" t="s">
        <v>483</v>
      </c>
      <c r="I68" s="156"/>
      <c r="J68" s="156"/>
      <c r="K68" s="156"/>
      <c r="L68" s="156"/>
      <c r="M68" s="156"/>
      <c r="N68" s="416"/>
      <c r="O68" s="406"/>
      <c r="P68" s="406"/>
      <c r="Q68" s="406"/>
      <c r="R68" s="220"/>
      <c r="S68" s="220"/>
      <c r="T68" s="417" t="e">
        <f>T67/(0.7*W64)</f>
        <v>#VALUE!</v>
      </c>
      <c r="U68" s="417" t="e">
        <f>U67/(0.7*W64)</f>
        <v>#VALUE!</v>
      </c>
      <c r="V68" s="418"/>
      <c r="W68" s="419">
        <f>IF(W6&gt;22,IF(16/(ABS(W6)-4)&gt;1.75,1.75,IF(16/(ABS(W6)-4)&lt;0.75,0.75,16/(ABS(W6)-4))),IF(W6&lt;18,IF(16/(ABS(W6)-4)&gt;1.75,1.75,IF(16/(ABS(W6)-4)&lt;0.75,0.75,16/(ABS(W6)-4))),1))</f>
        <v>1</v>
      </c>
      <c r="X68" s="144"/>
      <c r="Y68" s="231"/>
      <c r="Z68" s="215"/>
      <c r="AA68" s="221"/>
      <c r="AB68" s="220"/>
      <c r="AC68" s="220"/>
      <c r="AN68" s="8"/>
    </row>
    <row r="69" spans="2:40" ht="19.5" thickBot="1">
      <c r="B69" s="160"/>
      <c r="C69" s="114"/>
      <c r="K69" s="120"/>
      <c r="L69" s="120"/>
      <c r="N69" s="420"/>
      <c r="O69" s="421"/>
      <c r="P69" s="220"/>
      <c r="Q69" s="220"/>
      <c r="R69" s="220"/>
      <c r="S69" s="220"/>
      <c r="T69" s="228" t="s">
        <v>564</v>
      </c>
      <c r="U69" s="228" t="s">
        <v>565</v>
      </c>
      <c r="V69" s="404"/>
      <c r="W69" s="422"/>
      <c r="X69" s="120"/>
      <c r="Y69" s="221"/>
      <c r="Z69" s="215"/>
      <c r="AA69" s="221"/>
      <c r="AB69" s="221"/>
      <c r="AC69" s="220"/>
      <c r="AF69" s="122"/>
      <c r="AG69" s="122"/>
      <c r="AH69" s="122"/>
      <c r="AN69" s="8"/>
    </row>
    <row r="70" spans="2:40" ht="20.25" thickTop="1" thickBot="1">
      <c r="B70" s="190" t="s">
        <v>489</v>
      </c>
      <c r="C70" s="196"/>
      <c r="J70" s="197">
        <f>W70</f>
        <v>0</v>
      </c>
      <c r="N70" s="420"/>
      <c r="O70" s="421"/>
      <c r="P70" s="220"/>
      <c r="Q70" s="220"/>
      <c r="R70" s="220"/>
      <c r="S70" s="220"/>
      <c r="T70" s="423">
        <f>(T62)*(W6-W7)/1000</f>
        <v>0</v>
      </c>
      <c r="U70" s="423">
        <f>((W10*W13*(1-W14))+(2*W10*W12*0.05*1))*0.34*(W6-W7)/1000</f>
        <v>0</v>
      </c>
      <c r="V70" s="404"/>
      <c r="W70" s="424">
        <f>(T70+U70)</f>
        <v>0</v>
      </c>
      <c r="X70" s="120"/>
      <c r="Y70" s="221"/>
      <c r="Z70" s="215"/>
      <c r="AA70" s="221"/>
      <c r="AB70" s="232">
        <v>1.08</v>
      </c>
      <c r="AC70" s="220"/>
      <c r="AF70" s="122"/>
      <c r="AG70" s="122"/>
      <c r="AH70" s="122"/>
      <c r="AN70" s="8"/>
    </row>
    <row r="71" spans="2:40" ht="19.5" thickTop="1">
      <c r="B71" s="190" t="s">
        <v>566</v>
      </c>
      <c r="C71" s="196"/>
      <c r="J71" s="145">
        <f>'Zadání OS'!D12</f>
        <v>0</v>
      </c>
      <c r="N71" s="235">
        <f>IF(R71="Efektivita otopné soustavy není vyhovující.",0,1)</f>
        <v>0</v>
      </c>
      <c r="O71" s="421"/>
      <c r="P71" s="220"/>
      <c r="Q71" s="220"/>
      <c r="R71" s="425" t="str">
        <f xml:space="preserve"> IF(H16=D133,"Vytápění zajištěno podlahovým UT, systém vyhovuje",IF(W4&gt;2008,"Pro zadaný rok dokončení stavby není posouzení vyžadováno",IF(J71&gt;J70*AB70,"OTOPNÁ SOUSTAVA PROVOZNĚ VHODNÁ", "Efektivita otopné soustavy není vyhovující.")))</f>
        <v>Efektivita otopné soustavy není vyhovující.</v>
      </c>
      <c r="S71" s="426"/>
      <c r="T71" s="426"/>
      <c r="U71" s="426"/>
      <c r="V71" s="426"/>
      <c r="W71" s="427"/>
      <c r="X71" s="120"/>
      <c r="Z71" s="215"/>
      <c r="AA71" s="221"/>
      <c r="AB71" s="233">
        <f>J71</f>
        <v>0</v>
      </c>
      <c r="AC71" s="233">
        <f>J70*AB70</f>
        <v>0</v>
      </c>
      <c r="AF71" s="122"/>
      <c r="AG71" s="122"/>
      <c r="AH71" s="122"/>
      <c r="AN71" s="8"/>
    </row>
    <row r="72" spans="2:40" ht="18.75">
      <c r="B72" s="190"/>
      <c r="C72" s="191"/>
      <c r="D72" s="191"/>
      <c r="E72" s="191"/>
      <c r="F72" s="191"/>
      <c r="G72" s="191"/>
      <c r="H72" s="192"/>
      <c r="I72" s="179"/>
      <c r="J72" s="120"/>
      <c r="K72" s="179"/>
      <c r="M72" s="179"/>
      <c r="N72" s="223"/>
      <c r="O72" s="409"/>
      <c r="P72" s="428"/>
      <c r="Q72" s="223"/>
      <c r="R72" s="425" t="str">
        <f>IF(AND(ISNUMBER(U68),SUM(U33:U58)&gt;0),IF(U68&gt;2, "Obálka budovy nevyhovuje.", "Obálka budovy vyhovuje."),"Zadejte údaje o obálce budovy")</f>
        <v>Zadejte údaje o obálce budovy</v>
      </c>
      <c r="S72" s="426"/>
      <c r="T72" s="426"/>
      <c r="U72" s="426"/>
      <c r="V72" s="426"/>
      <c r="W72" s="427"/>
      <c r="X72" s="120"/>
      <c r="Y72" s="221"/>
      <c r="Z72" s="215"/>
      <c r="AA72" s="221"/>
      <c r="AB72" s="221"/>
      <c r="AC72" s="220"/>
      <c r="AF72" s="122"/>
      <c r="AG72" s="122"/>
      <c r="AH72" s="122"/>
      <c r="AN72" s="8"/>
    </row>
    <row r="73" spans="2:40" ht="15" customHeight="1">
      <c r="B73" s="271"/>
      <c r="C73" s="191"/>
      <c r="D73" s="191"/>
      <c r="E73" s="191"/>
      <c r="F73" s="191"/>
      <c r="G73" s="191"/>
      <c r="H73" s="192"/>
      <c r="I73" s="179"/>
      <c r="J73" s="120"/>
      <c r="K73" s="179"/>
      <c r="L73" s="179"/>
      <c r="M73" s="179"/>
      <c r="N73" s="123"/>
      <c r="O73" s="195"/>
      <c r="P73" s="198"/>
      <c r="Q73" s="123"/>
      <c r="R73" s="282" t="str">
        <f>IF(NOT(ISNUMBER(W8)),"Nutno zadat také Energeticky vztažnou plochu, buňka W8!","")</f>
        <v>Nutno zadat také Energeticky vztažnou plochu, buňka W8!</v>
      </c>
      <c r="S73" s="170"/>
      <c r="T73" s="170"/>
      <c r="U73" s="170"/>
      <c r="V73" s="170"/>
      <c r="W73" s="199"/>
      <c r="X73" s="120"/>
      <c r="Y73" s="120"/>
      <c r="Z73" s="106"/>
      <c r="AA73" s="120"/>
      <c r="AB73" s="120"/>
      <c r="AF73" s="122"/>
      <c r="AG73" s="122"/>
      <c r="AH73" s="122"/>
      <c r="AN73" s="8"/>
    </row>
    <row r="74" spans="2:40" ht="15" customHeight="1">
      <c r="B74" s="190"/>
      <c r="C74" s="191"/>
      <c r="D74" s="191"/>
      <c r="E74" s="191"/>
      <c r="F74" s="191"/>
      <c r="G74" s="191"/>
      <c r="H74" s="192"/>
      <c r="I74" s="179"/>
      <c r="J74" s="120"/>
      <c r="K74" s="179"/>
      <c r="L74" s="179"/>
      <c r="M74" s="179"/>
      <c r="N74" s="123"/>
      <c r="O74" s="195"/>
      <c r="P74" s="198"/>
      <c r="Q74" s="123"/>
      <c r="R74" s="193"/>
      <c r="S74" s="170"/>
      <c r="T74" s="170"/>
      <c r="U74" s="170"/>
      <c r="V74" s="170"/>
      <c r="W74" s="199"/>
      <c r="X74" s="120"/>
      <c r="Y74" s="120"/>
      <c r="Z74" s="106"/>
      <c r="AA74" s="120"/>
      <c r="AB74" s="120"/>
      <c r="AF74" s="122"/>
      <c r="AG74" s="122"/>
      <c r="AH74" s="122"/>
      <c r="AN74" s="8"/>
    </row>
    <row r="75" spans="2:40" ht="60" customHeight="1">
      <c r="B75" s="429" t="str">
        <f>IF(AND(N66+N71=2,ISNUMBER(W8)),"Podmínky programu pro instalaci TČ jsou splněny.",IF(R71="Efektivita otopné soustavy není vyhovující.","Nevyhovuje otopná soustava nebo není zadána.","Nevyhovuje obálka budovy nebo není zadání úplné."))</f>
        <v>Nevyhovuje otopná soustava nebo není zadána.</v>
      </c>
      <c r="C75" s="272"/>
      <c r="D75" s="272"/>
      <c r="E75" s="272"/>
      <c r="F75" s="272"/>
      <c r="G75" s="272"/>
      <c r="H75" s="272"/>
      <c r="I75" s="179"/>
      <c r="O75" s="195"/>
      <c r="P75" s="329"/>
      <c r="Q75" s="330"/>
      <c r="R75" s="330"/>
      <c r="S75" s="330"/>
      <c r="T75" s="331"/>
      <c r="U75" s="200"/>
      <c r="V75" s="170"/>
      <c r="W75" s="199"/>
      <c r="X75" s="120"/>
      <c r="Y75" s="120"/>
      <c r="Z75" s="106"/>
      <c r="AA75" s="120"/>
      <c r="AB75" s="120"/>
      <c r="AF75" s="122"/>
      <c r="AG75" s="122"/>
      <c r="AH75" s="122"/>
      <c r="AN75" s="8"/>
    </row>
    <row r="76" spans="2:40" ht="23.25" customHeight="1" thickBot="1">
      <c r="B76" s="201"/>
      <c r="C76" s="184"/>
      <c r="D76" s="328"/>
      <c r="E76" s="328"/>
      <c r="F76" s="328"/>
      <c r="G76" s="328"/>
      <c r="H76" s="328"/>
      <c r="I76" s="184"/>
      <c r="J76" s="184"/>
      <c r="K76" s="184"/>
      <c r="L76" s="184"/>
      <c r="M76" s="184"/>
      <c r="N76" s="184"/>
      <c r="O76" s="184"/>
      <c r="P76" s="328" t="s">
        <v>505</v>
      </c>
      <c r="Q76" s="328"/>
      <c r="R76" s="328"/>
      <c r="S76" s="328"/>
      <c r="T76" s="328"/>
      <c r="U76" s="202"/>
      <c r="V76" s="184"/>
      <c r="W76" s="203"/>
      <c r="X76" s="120"/>
      <c r="Y76" s="120"/>
      <c r="Z76" s="106"/>
      <c r="AF76" s="122"/>
      <c r="AG76" s="122"/>
      <c r="AH76" s="122"/>
      <c r="AN76" s="8"/>
    </row>
    <row r="77" spans="2:40">
      <c r="X77" s="120"/>
      <c r="Y77" s="120"/>
      <c r="AF77" s="122"/>
      <c r="AG77" s="122"/>
      <c r="AH77" s="122"/>
      <c r="AN77" s="8"/>
    </row>
    <row r="78" spans="2:40" ht="18" customHeight="1">
      <c r="B78" s="288" t="s">
        <v>500</v>
      </c>
      <c r="C78" s="288"/>
      <c r="D78" s="288"/>
      <c r="E78" s="288"/>
      <c r="F78" s="288"/>
      <c r="G78" s="288"/>
      <c r="H78" s="288"/>
      <c r="I78" s="288"/>
      <c r="J78" s="288"/>
      <c r="K78" s="118"/>
      <c r="L78" s="118"/>
      <c r="M78" s="118"/>
      <c r="N78" s="118"/>
      <c r="O78" s="118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19"/>
    </row>
    <row r="79" spans="2:40" s="102" customFormat="1" ht="4.5" customHeight="1" thickBot="1">
      <c r="B79" s="101"/>
      <c r="D79" s="103"/>
      <c r="E79" s="103"/>
      <c r="F79" s="103"/>
      <c r="G79" s="103"/>
      <c r="H79" s="103"/>
      <c r="I79" s="101"/>
      <c r="J79" s="101"/>
      <c r="K79" s="101"/>
      <c r="L79" s="101"/>
      <c r="M79" s="101"/>
      <c r="N79" s="101"/>
      <c r="O79" s="101"/>
      <c r="P79" s="104"/>
      <c r="Q79" s="104"/>
      <c r="R79" s="104"/>
      <c r="S79" s="104"/>
      <c r="T79" s="104"/>
      <c r="U79" s="104"/>
      <c r="V79" s="104"/>
      <c r="W79" s="105"/>
      <c r="X79" s="105"/>
      <c r="Y79" s="105"/>
      <c r="Z79" s="106"/>
      <c r="AG79" s="8"/>
      <c r="AN79" s="107"/>
    </row>
    <row r="80" spans="2:40" s="102" customFormat="1" ht="262.5" customHeight="1">
      <c r="B80" s="289"/>
      <c r="C80" s="290"/>
      <c r="D80" s="29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1"/>
      <c r="X80" s="105"/>
      <c r="Y80" s="105"/>
      <c r="Z80" s="106"/>
      <c r="AD80"/>
      <c r="AG80" s="8"/>
      <c r="AN80" s="107"/>
    </row>
    <row r="81" spans="2:40" s="102" customFormat="1" ht="300" customHeight="1" thickBot="1">
      <c r="B81" s="292"/>
      <c r="C81" s="293"/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4"/>
      <c r="X81" s="105"/>
      <c r="Y81" s="105"/>
      <c r="Z81" s="106"/>
      <c r="AG81" s="8"/>
      <c r="AN81" s="107"/>
    </row>
    <row r="82" spans="2:40"/>
    <row r="83" spans="2:40"/>
    <row r="84" spans="2:40"/>
    <row r="85" spans="2:40"/>
    <row r="86" spans="2:40"/>
    <row r="87" spans="2:40"/>
    <row r="88" spans="2:40" ht="12.75" customHeight="1">
      <c r="D88" s="310" t="s">
        <v>571</v>
      </c>
      <c r="E88" s="310"/>
      <c r="F88" s="310"/>
      <c r="G88" s="310"/>
      <c r="H88" s="310"/>
      <c r="I88" s="310"/>
      <c r="J88" s="327" t="s">
        <v>588</v>
      </c>
      <c r="K88" s="314"/>
      <c r="L88" s="327" t="s">
        <v>572</v>
      </c>
    </row>
    <row r="89" spans="2:40">
      <c r="D89" s="310"/>
      <c r="E89" s="310"/>
      <c r="F89" s="310"/>
      <c r="G89" s="310"/>
      <c r="H89" s="310"/>
      <c r="I89" s="310"/>
      <c r="J89" s="327"/>
      <c r="K89" s="315"/>
      <c r="L89" s="327"/>
    </row>
    <row r="90" spans="2:40">
      <c r="D90" s="310"/>
      <c r="E90" s="310"/>
      <c r="F90" s="310"/>
      <c r="G90" s="310"/>
      <c r="H90" s="310"/>
      <c r="I90" s="310"/>
      <c r="J90" s="327"/>
      <c r="K90" s="315"/>
      <c r="L90" s="327"/>
    </row>
    <row r="91" spans="2:40">
      <c r="D91" s="310"/>
      <c r="E91" s="310"/>
      <c r="F91" s="310"/>
      <c r="G91" s="310"/>
      <c r="H91" s="310"/>
      <c r="I91" s="310"/>
      <c r="J91" s="327"/>
      <c r="K91" s="315"/>
      <c r="L91" s="327"/>
    </row>
    <row r="92" spans="2:40">
      <c r="D92" s="297" t="s">
        <v>594</v>
      </c>
      <c r="E92" s="298"/>
      <c r="F92" s="298"/>
      <c r="G92" s="298"/>
      <c r="H92" s="298"/>
      <c r="I92" s="299"/>
      <c r="J92" s="149">
        <v>0.3</v>
      </c>
      <c r="K92" s="315"/>
      <c r="L92" s="150">
        <v>0.25</v>
      </c>
    </row>
    <row r="93" spans="2:40">
      <c r="D93" s="297" t="s">
        <v>595</v>
      </c>
      <c r="E93" s="298"/>
      <c r="F93" s="298"/>
      <c r="G93" s="298"/>
      <c r="H93" s="298"/>
      <c r="I93" s="299"/>
      <c r="J93" s="149">
        <v>0.3</v>
      </c>
      <c r="K93" s="315"/>
      <c r="L93" s="150">
        <v>0.2</v>
      </c>
    </row>
    <row r="94" spans="2:40">
      <c r="D94" s="297" t="s">
        <v>573</v>
      </c>
      <c r="E94" s="298"/>
      <c r="F94" s="298"/>
      <c r="G94" s="298"/>
      <c r="H94" s="298"/>
      <c r="I94" s="299"/>
      <c r="J94" s="150">
        <v>0.3</v>
      </c>
      <c r="K94" s="315"/>
      <c r="L94" s="150">
        <v>0.2</v>
      </c>
    </row>
    <row r="95" spans="2:40">
      <c r="D95" s="297" t="s">
        <v>574</v>
      </c>
      <c r="E95" s="298"/>
      <c r="F95" s="298"/>
      <c r="G95" s="298"/>
      <c r="H95" s="298"/>
      <c r="I95" s="299"/>
      <c r="J95" s="150">
        <v>0.24</v>
      </c>
      <c r="K95" s="315"/>
      <c r="L95" s="150">
        <v>0.16</v>
      </c>
    </row>
    <row r="96" spans="2:40">
      <c r="D96" s="297" t="s">
        <v>575</v>
      </c>
      <c r="E96" s="298"/>
      <c r="F96" s="298"/>
      <c r="G96" s="298"/>
      <c r="H96" s="298"/>
      <c r="I96" s="299"/>
      <c r="J96" s="150">
        <v>0.24</v>
      </c>
      <c r="K96" s="315"/>
      <c r="L96" s="150">
        <v>0.16</v>
      </c>
    </row>
    <row r="97" spans="4:12">
      <c r="D97" s="297" t="s">
        <v>576</v>
      </c>
      <c r="E97" s="298"/>
      <c r="F97" s="298"/>
      <c r="G97" s="298"/>
      <c r="H97" s="298"/>
      <c r="I97" s="299"/>
      <c r="J97" s="150">
        <v>0.3</v>
      </c>
      <c r="K97" s="315"/>
      <c r="L97" s="150">
        <v>0.2</v>
      </c>
    </row>
    <row r="98" spans="4:12">
      <c r="D98" s="297" t="s">
        <v>596</v>
      </c>
      <c r="E98" s="298"/>
      <c r="F98" s="298"/>
      <c r="G98" s="298"/>
      <c r="H98" s="298"/>
      <c r="I98" s="299"/>
      <c r="J98" s="149">
        <v>0.3</v>
      </c>
      <c r="K98" s="315"/>
      <c r="L98" s="150">
        <v>0.25</v>
      </c>
    </row>
    <row r="99" spans="4:12">
      <c r="D99" s="297" t="s">
        <v>597</v>
      </c>
      <c r="E99" s="298"/>
      <c r="F99" s="298"/>
      <c r="G99" s="298"/>
      <c r="H99" s="298"/>
      <c r="I99" s="299"/>
      <c r="J99" s="149">
        <v>0.3</v>
      </c>
      <c r="K99" s="315"/>
      <c r="L99" s="150">
        <v>0.2</v>
      </c>
    </row>
    <row r="100" spans="4:12">
      <c r="D100" s="297" t="s">
        <v>615</v>
      </c>
      <c r="E100" s="298"/>
      <c r="F100" s="298"/>
      <c r="G100" s="298"/>
      <c r="H100" s="298"/>
      <c r="I100" s="299"/>
      <c r="J100" s="150">
        <v>0.45</v>
      </c>
      <c r="K100" s="315"/>
      <c r="L100" s="150">
        <v>0.3</v>
      </c>
    </row>
    <row r="101" spans="4:12">
      <c r="D101" s="297" t="s">
        <v>577</v>
      </c>
      <c r="E101" s="298"/>
      <c r="F101" s="298"/>
      <c r="G101" s="298"/>
      <c r="H101" s="298"/>
      <c r="I101" s="299"/>
      <c r="J101" s="150">
        <v>0.6</v>
      </c>
      <c r="K101" s="315"/>
      <c r="L101" s="150">
        <v>0.4</v>
      </c>
    </row>
    <row r="102" spans="4:12">
      <c r="D102" s="297" t="s">
        <v>578</v>
      </c>
      <c r="E102" s="298"/>
      <c r="F102" s="298"/>
      <c r="G102" s="298"/>
      <c r="H102" s="298"/>
      <c r="I102" s="299"/>
      <c r="J102" s="150">
        <v>0.75</v>
      </c>
      <c r="K102" s="315"/>
      <c r="L102" s="150">
        <v>0.5</v>
      </c>
    </row>
    <row r="103" spans="4:12">
      <c r="D103" s="297" t="s">
        <v>579</v>
      </c>
      <c r="E103" s="298"/>
      <c r="F103" s="298"/>
      <c r="G103" s="298"/>
      <c r="H103" s="298"/>
      <c r="I103" s="299"/>
      <c r="J103" s="150">
        <v>0.75</v>
      </c>
      <c r="K103" s="315"/>
      <c r="L103" s="150">
        <v>0.5</v>
      </c>
    </row>
    <row r="104" spans="4:12">
      <c r="D104" s="297" t="s">
        <v>589</v>
      </c>
      <c r="E104" s="298"/>
      <c r="F104" s="298"/>
      <c r="G104" s="298"/>
      <c r="H104" s="298"/>
      <c r="I104" s="299"/>
      <c r="J104" s="150">
        <v>0.85</v>
      </c>
      <c r="K104" s="315"/>
      <c r="L104" s="150">
        <v>0.6</v>
      </c>
    </row>
    <row r="105" spans="4:12">
      <c r="D105" s="297" t="s">
        <v>616</v>
      </c>
      <c r="E105" s="298"/>
      <c r="F105" s="298"/>
      <c r="G105" s="298"/>
      <c r="H105" s="298"/>
      <c r="I105" s="299"/>
      <c r="J105" s="150">
        <v>1.05</v>
      </c>
      <c r="K105" s="315"/>
      <c r="L105" s="150">
        <v>0.7</v>
      </c>
    </row>
    <row r="106" spans="4:12">
      <c r="D106" s="297" t="s">
        <v>580</v>
      </c>
      <c r="E106" s="298"/>
      <c r="F106" s="298"/>
      <c r="G106" s="298"/>
      <c r="H106" s="298"/>
      <c r="I106" s="299"/>
      <c r="J106" s="150">
        <v>1.05</v>
      </c>
      <c r="K106" s="315"/>
      <c r="L106" s="150">
        <v>0.7</v>
      </c>
    </row>
    <row r="107" spans="4:12">
      <c r="D107" s="297" t="s">
        <v>581</v>
      </c>
      <c r="E107" s="298"/>
      <c r="F107" s="298"/>
      <c r="G107" s="298"/>
      <c r="H107" s="298"/>
      <c r="I107" s="299"/>
      <c r="J107" s="150">
        <v>1.3</v>
      </c>
      <c r="K107" s="315"/>
      <c r="L107" s="150">
        <v>0.9</v>
      </c>
    </row>
    <row r="108" spans="4:12">
      <c r="D108" s="297" t="s">
        <v>582</v>
      </c>
      <c r="E108" s="298"/>
      <c r="F108" s="298"/>
      <c r="G108" s="298"/>
      <c r="H108" s="298"/>
      <c r="I108" s="299"/>
      <c r="J108" s="150">
        <v>2.2000000000000002</v>
      </c>
      <c r="K108" s="315"/>
      <c r="L108" s="150">
        <v>1.45</v>
      </c>
    </row>
    <row r="109" spans="4:12">
      <c r="D109" s="297" t="s">
        <v>583</v>
      </c>
      <c r="E109" s="298"/>
      <c r="F109" s="298"/>
      <c r="G109" s="298"/>
      <c r="H109" s="298"/>
      <c r="I109" s="299"/>
      <c r="J109" s="150">
        <v>2.7</v>
      </c>
      <c r="K109" s="315"/>
      <c r="L109" s="150">
        <v>1.8</v>
      </c>
    </row>
    <row r="110" spans="4:12" ht="12.75" customHeight="1">
      <c r="D110" s="324" t="s">
        <v>599</v>
      </c>
      <c r="E110" s="325"/>
      <c r="F110" s="325"/>
      <c r="G110" s="325"/>
      <c r="H110" s="325"/>
      <c r="I110" s="326"/>
      <c r="J110" s="150">
        <v>1.5</v>
      </c>
      <c r="K110" s="315"/>
      <c r="L110" s="150">
        <v>1.2</v>
      </c>
    </row>
    <row r="111" spans="4:12">
      <c r="D111" s="297" t="s">
        <v>598</v>
      </c>
      <c r="E111" s="298"/>
      <c r="F111" s="298"/>
      <c r="G111" s="298"/>
      <c r="H111" s="298"/>
      <c r="I111" s="299"/>
      <c r="J111" s="150">
        <v>1.4</v>
      </c>
      <c r="K111" s="315"/>
      <c r="L111" s="150">
        <v>1.1000000000000001</v>
      </c>
    </row>
    <row r="112" spans="4:12">
      <c r="D112" s="297" t="s">
        <v>600</v>
      </c>
      <c r="E112" s="298"/>
      <c r="F112" s="298"/>
      <c r="G112" s="298"/>
      <c r="H112" s="298"/>
      <c r="I112" s="299"/>
      <c r="J112" s="150">
        <v>1.7</v>
      </c>
      <c r="K112" s="315"/>
      <c r="L112" s="150">
        <v>1.2</v>
      </c>
    </row>
    <row r="113" spans="4:12">
      <c r="D113" s="297" t="s">
        <v>584</v>
      </c>
      <c r="E113" s="298"/>
      <c r="F113" s="298"/>
      <c r="G113" s="298"/>
      <c r="H113" s="298"/>
      <c r="I113" s="299"/>
      <c r="J113" s="150">
        <v>3.5</v>
      </c>
      <c r="K113" s="315"/>
      <c r="L113" s="150">
        <v>2.2999999999999998</v>
      </c>
    </row>
    <row r="114" spans="4:12">
      <c r="D114" s="297" t="s">
        <v>601</v>
      </c>
      <c r="E114" s="298"/>
      <c r="F114" s="298"/>
      <c r="G114" s="298"/>
      <c r="H114" s="298"/>
      <c r="I114" s="299"/>
      <c r="J114" s="150">
        <v>3.5</v>
      </c>
      <c r="K114" s="315"/>
      <c r="L114" s="150">
        <v>2.2999999999999998</v>
      </c>
    </row>
    <row r="115" spans="4:12">
      <c r="D115" s="297" t="s">
        <v>602</v>
      </c>
      <c r="E115" s="298"/>
      <c r="F115" s="298"/>
      <c r="G115" s="298"/>
      <c r="H115" s="298"/>
      <c r="I115" s="299"/>
      <c r="J115" s="150">
        <v>2.6</v>
      </c>
      <c r="K115" s="315"/>
      <c r="L115" s="150">
        <v>1.7</v>
      </c>
    </row>
    <row r="116" spans="4:12">
      <c r="D116" s="311" t="s">
        <v>613</v>
      </c>
      <c r="E116" s="311"/>
      <c r="F116" s="311"/>
      <c r="G116" s="313" t="s">
        <v>614</v>
      </c>
      <c r="H116" s="313"/>
      <c r="I116" s="313"/>
      <c r="J116" s="313" t="s">
        <v>590</v>
      </c>
      <c r="K116" s="315"/>
      <c r="L116" s="312" t="s">
        <v>591</v>
      </c>
    </row>
    <row r="117" spans="4:12">
      <c r="D117" s="311"/>
      <c r="E117" s="311"/>
      <c r="F117" s="311"/>
      <c r="G117" s="313"/>
      <c r="H117" s="313"/>
      <c r="I117" s="313"/>
      <c r="J117" s="313"/>
      <c r="K117" s="315"/>
      <c r="L117" s="312"/>
    </row>
    <row r="118" spans="4:12">
      <c r="D118" s="311"/>
      <c r="E118" s="311"/>
      <c r="F118" s="311"/>
      <c r="G118" s="313"/>
      <c r="H118" s="313"/>
      <c r="I118" s="313"/>
      <c r="J118" s="313"/>
      <c r="K118" s="315"/>
      <c r="L118" s="312"/>
    </row>
    <row r="119" spans="4:12">
      <c r="D119" s="311"/>
      <c r="E119" s="311"/>
      <c r="F119" s="311"/>
      <c r="G119" s="313"/>
      <c r="H119" s="313"/>
      <c r="I119" s="313"/>
      <c r="J119" s="313"/>
      <c r="K119" s="315"/>
      <c r="L119" s="312"/>
    </row>
    <row r="120" spans="4:12">
      <c r="D120" s="311"/>
      <c r="E120" s="311"/>
      <c r="F120" s="311"/>
      <c r="G120" s="313" t="s">
        <v>592</v>
      </c>
      <c r="H120" s="313"/>
      <c r="I120" s="313"/>
      <c r="J120" s="313" t="s">
        <v>593</v>
      </c>
      <c r="K120" s="315"/>
      <c r="L120" s="312"/>
    </row>
    <row r="121" spans="4:12">
      <c r="D121" s="311"/>
      <c r="E121" s="311"/>
      <c r="F121" s="311"/>
      <c r="G121" s="313"/>
      <c r="H121" s="313"/>
      <c r="I121" s="313"/>
      <c r="J121" s="313"/>
      <c r="K121" s="315"/>
      <c r="L121" s="312"/>
    </row>
    <row r="122" spans="4:12">
      <c r="D122" s="311"/>
      <c r="E122" s="311"/>
      <c r="F122" s="311"/>
      <c r="G122" s="313"/>
      <c r="H122" s="313"/>
      <c r="I122" s="313"/>
      <c r="J122" s="313"/>
      <c r="K122" s="315"/>
      <c r="L122" s="312"/>
    </row>
    <row r="123" spans="4:12">
      <c r="D123" s="311"/>
      <c r="E123" s="311"/>
      <c r="F123" s="311"/>
      <c r="G123" s="313"/>
      <c r="H123" s="313"/>
      <c r="I123" s="313"/>
      <c r="J123" s="313"/>
      <c r="K123" s="315"/>
      <c r="L123" s="312"/>
    </row>
    <row r="124" spans="4:12">
      <c r="D124" s="297" t="s">
        <v>585</v>
      </c>
      <c r="E124" s="298"/>
      <c r="F124" s="298"/>
      <c r="G124" s="298"/>
      <c r="H124" s="298"/>
      <c r="I124" s="299"/>
      <c r="J124" s="150" t="s">
        <v>586</v>
      </c>
      <c r="K124" s="315"/>
      <c r="L124" s="150">
        <v>1.8</v>
      </c>
    </row>
    <row r="125" spans="4:12">
      <c r="D125" s="297" t="s">
        <v>612</v>
      </c>
      <c r="E125" s="298"/>
      <c r="F125" s="298"/>
      <c r="G125" s="298"/>
      <c r="H125" s="298"/>
      <c r="I125" s="299"/>
      <c r="J125" s="150" t="s">
        <v>586</v>
      </c>
      <c r="K125" s="315"/>
      <c r="L125" s="150">
        <v>1.3</v>
      </c>
    </row>
    <row r="126" spans="4:12">
      <c r="D126" s="297" t="s">
        <v>587</v>
      </c>
      <c r="E126" s="298"/>
      <c r="F126" s="298"/>
      <c r="G126" s="298"/>
      <c r="H126" s="298"/>
      <c r="I126" s="299"/>
      <c r="J126" s="150" t="s">
        <v>586</v>
      </c>
      <c r="K126" s="316"/>
      <c r="L126" s="150">
        <v>1.8</v>
      </c>
    </row>
    <row r="127" spans="4:12"/>
    <row r="128" spans="4:12"/>
    <row r="130" spans="4:7" hidden="1">
      <c r="D130" s="152" t="s">
        <v>620</v>
      </c>
    </row>
    <row r="131" spans="4:7" hidden="1">
      <c r="D131" s="8" t="s">
        <v>621</v>
      </c>
      <c r="G131" s="8">
        <v>0</v>
      </c>
    </row>
    <row r="132" spans="4:7" hidden="1">
      <c r="D132" s="8" t="s">
        <v>631</v>
      </c>
      <c r="G132" s="8">
        <v>1</v>
      </c>
    </row>
    <row r="133" spans="4:7" hidden="1">
      <c r="D133" s="8" t="s">
        <v>632</v>
      </c>
      <c r="G133" s="8">
        <v>2</v>
      </c>
    </row>
    <row r="134" spans="4:7" hidden="1">
      <c r="D134" s="8" t="s">
        <v>642</v>
      </c>
    </row>
    <row r="140" spans="4:7" hidden="1">
      <c r="D140" s="152" t="s">
        <v>637</v>
      </c>
    </row>
    <row r="141" spans="4:7" hidden="1">
      <c r="D141" s="8" t="s">
        <v>641</v>
      </c>
      <c r="G141" s="8">
        <v>0</v>
      </c>
    </row>
    <row r="142" spans="4:7" hidden="1">
      <c r="D142" s="8" t="s">
        <v>643</v>
      </c>
      <c r="G142" s="8">
        <v>1</v>
      </c>
    </row>
    <row r="143" spans="4:7" hidden="1">
      <c r="D143" s="8" t="s">
        <v>644</v>
      </c>
      <c r="G143" s="8">
        <v>2</v>
      </c>
    </row>
    <row r="144" spans="4:7" hidden="1">
      <c r="D144" s="8" t="s">
        <v>639</v>
      </c>
      <c r="G144" s="8">
        <v>3</v>
      </c>
    </row>
    <row r="145" spans="4:7" hidden="1">
      <c r="D145" s="8" t="s">
        <v>640</v>
      </c>
      <c r="G145" s="8">
        <v>4</v>
      </c>
    </row>
    <row r="146" spans="4:7" hidden="1">
      <c r="D146" s="8" t="s">
        <v>642</v>
      </c>
    </row>
  </sheetData>
  <sheetProtection algorithmName="SHA-512" hashValue="6Yk6Qxb0MxKC2GsPdYzaQuHNR7Oe0hTrTTPAClOpZ0Hyan9DbLcMoRRl/yEyb9T1E+J6Qnzfpz2CRgQlQvkHQw==" saltValue="7FX3U7apThAqUCzc+nAVZw==" spinCount="100000" sheet="1" objects="1" scenarios="1"/>
  <mergeCells count="90">
    <mergeCell ref="B2:V2"/>
    <mergeCell ref="N29:P29"/>
    <mergeCell ref="N30:P30"/>
    <mergeCell ref="H10:L10"/>
    <mergeCell ref="H12:L12"/>
    <mergeCell ref="B25:W26"/>
    <mergeCell ref="B18:J18"/>
    <mergeCell ref="B23:J23"/>
    <mergeCell ref="B10:G10"/>
    <mergeCell ref="B20:W21"/>
    <mergeCell ref="R12:V12"/>
    <mergeCell ref="B4:J4"/>
    <mergeCell ref="H6:O6"/>
    <mergeCell ref="H7:O7"/>
    <mergeCell ref="N8:O8"/>
    <mergeCell ref="T30:W30"/>
    <mergeCell ref="B6:G6"/>
    <mergeCell ref="B7:G7"/>
    <mergeCell ref="B8:G8"/>
    <mergeCell ref="M12:O12"/>
    <mergeCell ref="H11:O11"/>
    <mergeCell ref="M10:O10"/>
    <mergeCell ref="H8:M8"/>
    <mergeCell ref="B12:G12"/>
    <mergeCell ref="D114:I114"/>
    <mergeCell ref="D104:I104"/>
    <mergeCell ref="D105:I105"/>
    <mergeCell ref="C36:W36"/>
    <mergeCell ref="C39:W39"/>
    <mergeCell ref="C42:W42"/>
    <mergeCell ref="J88:J91"/>
    <mergeCell ref="L88:L91"/>
    <mergeCell ref="D76:H76"/>
    <mergeCell ref="P75:T75"/>
    <mergeCell ref="P76:T76"/>
    <mergeCell ref="D94:I94"/>
    <mergeCell ref="W66:W67"/>
    <mergeCell ref="R71:W71"/>
    <mergeCell ref="R72:W72"/>
    <mergeCell ref="D111:I111"/>
    <mergeCell ref="D112:I112"/>
    <mergeCell ref="D113:I113"/>
    <mergeCell ref="H14:O14"/>
    <mergeCell ref="B14:G14"/>
    <mergeCell ref="H30:H31"/>
    <mergeCell ref="J30:J31"/>
    <mergeCell ref="L30:L31"/>
    <mergeCell ref="D106:I106"/>
    <mergeCell ref="D107:I107"/>
    <mergeCell ref="D108:I108"/>
    <mergeCell ref="D109:I109"/>
    <mergeCell ref="D110:I110"/>
    <mergeCell ref="D126:I126"/>
    <mergeCell ref="B16:G16"/>
    <mergeCell ref="H16:O16"/>
    <mergeCell ref="C56:W56"/>
    <mergeCell ref="C32:W32"/>
    <mergeCell ref="D88:I91"/>
    <mergeCell ref="D116:F123"/>
    <mergeCell ref="L116:L123"/>
    <mergeCell ref="J120:J123"/>
    <mergeCell ref="J116:J119"/>
    <mergeCell ref="G116:I119"/>
    <mergeCell ref="G120:I123"/>
    <mergeCell ref="D92:I92"/>
    <mergeCell ref="D93:I93"/>
    <mergeCell ref="K88:K126"/>
    <mergeCell ref="D95:I95"/>
    <mergeCell ref="D125:I125"/>
    <mergeCell ref="C44:W44"/>
    <mergeCell ref="C46:W46"/>
    <mergeCell ref="C48:W48"/>
    <mergeCell ref="C50:W50"/>
    <mergeCell ref="C52:W52"/>
    <mergeCell ref="D96:I96"/>
    <mergeCell ref="D97:I97"/>
    <mergeCell ref="D98:I98"/>
    <mergeCell ref="D99:I99"/>
    <mergeCell ref="D100:I100"/>
    <mergeCell ref="D101:I101"/>
    <mergeCell ref="D102:I102"/>
    <mergeCell ref="D103:I103"/>
    <mergeCell ref="D124:I124"/>
    <mergeCell ref="D115:I115"/>
    <mergeCell ref="B13:G13"/>
    <mergeCell ref="H13:O13"/>
    <mergeCell ref="B78:J78"/>
    <mergeCell ref="B80:W81"/>
    <mergeCell ref="R30:R31"/>
    <mergeCell ref="G30:G31"/>
  </mergeCells>
  <conditionalFormatting sqref="B75">
    <cfRule type="cellIs" dxfId="0" priority="1" operator="equal">
      <formula>"Podmínky programu pro instalaci TČ jsou splněny."</formula>
    </cfRule>
  </conditionalFormatting>
  <conditionalFormatting sqref="G33:G35 G37:G38 G40:G41 G43 G45 G47 G49 G51 G53:G55 G57:G58">
    <cfRule type="cellIs" dxfId="11" priority="32" operator="equal">
      <formula>"ANO"</formula>
    </cfRule>
  </conditionalFormatting>
  <conditionalFormatting sqref="R71:W71">
    <cfRule type="cellIs" dxfId="10" priority="14" operator="equal">
      <formula>"Pro zadaný rok dokončení stavby není posouzení vyžadováno"</formula>
    </cfRule>
    <cfRule type="cellIs" dxfId="9" priority="15" operator="equal">
      <formula>"Vytápění zajištěno podlahovým UT, systém vyhovuje"</formula>
    </cfRule>
    <cfRule type="cellIs" dxfId="8" priority="16" operator="equal">
      <formula>"OTOPNÁ SOUSTAVA PROVOZNĚ VHODNÁ"</formula>
    </cfRule>
  </conditionalFormatting>
  <conditionalFormatting sqref="R72:W72">
    <cfRule type="cellIs" dxfId="7" priority="4" operator="equal">
      <formula>"Obálka budovy vyhovuje."</formula>
    </cfRule>
  </conditionalFormatting>
  <conditionalFormatting sqref="T66:T67">
    <cfRule type="expression" dxfId="6" priority="8">
      <formula>T$68&lt;2.0001</formula>
    </cfRule>
  </conditionalFormatting>
  <conditionalFormatting sqref="T33:U35 T37:U38 T40:U41 T43:U43 T45:U45 T47:U47 T49:U49 T51:U51 T53:U55 T57:U58 T60:U60">
    <cfRule type="cellIs" dxfId="5" priority="34" operator="equal">
      <formula>"ANO"</formula>
    </cfRule>
  </conditionalFormatting>
  <conditionalFormatting sqref="U66:U67">
    <cfRule type="expression" dxfId="4" priority="7">
      <formula>$U$68&lt;2.0001</formula>
    </cfRule>
  </conditionalFormatting>
  <conditionalFormatting sqref="W2">
    <cfRule type="cellIs" dxfId="3" priority="5" operator="equal">
      <formula>"SPLŇUJE"</formula>
    </cfRule>
  </conditionalFormatting>
  <conditionalFormatting sqref="W66:W67">
    <cfRule type="expression" dxfId="2" priority="6">
      <formula>$U$68&lt;2.0001</formula>
    </cfRule>
  </conditionalFormatting>
  <conditionalFormatting sqref="W70">
    <cfRule type="cellIs" dxfId="1" priority="35" operator="greaterThanOrEqual">
      <formula>$AC$71</formula>
    </cfRule>
  </conditionalFormatting>
  <dataValidations count="11">
    <dataValidation type="whole" allowBlank="1" showInputMessage="1" showErrorMessage="1" sqref="W4" xr:uid="{00000000-0002-0000-0000-000000000000}">
      <formula1>1</formula1>
      <formula2>2030</formula2>
    </dataValidation>
    <dataValidation type="decimal" allowBlank="1" showInputMessage="1" showErrorMessage="1" sqref="W6" xr:uid="{00000000-0002-0000-0000-000001000000}">
      <formula1>16</formula1>
      <formula2>24</formula2>
    </dataValidation>
    <dataValidation type="whole" allowBlank="1" showInputMessage="1" showErrorMessage="1" sqref="W7" xr:uid="{00000000-0002-0000-0000-000002000000}">
      <formula1>-21</formula1>
      <formula2>-12</formula2>
    </dataValidation>
    <dataValidation type="decimal" allowBlank="1" showInputMessage="1" showErrorMessage="1" sqref="W8" xr:uid="{00000000-0002-0000-0000-000003000000}">
      <formula1>24</formula1>
      <formula2>1000</formula2>
    </dataValidation>
    <dataValidation type="decimal" allowBlank="1" showInputMessage="1" showErrorMessage="1" sqref="W13" xr:uid="{00000000-0002-0000-0000-000005000000}">
      <formula1>0.1</formula1>
      <formula2>10</formula2>
    </dataValidation>
    <dataValidation type="decimal" allowBlank="1" showInputMessage="1" showErrorMessage="1" sqref="W14:W17" xr:uid="{00000000-0002-0000-0000-000006000000}">
      <formula1>0</formula1>
      <formula2>95</formula2>
    </dataValidation>
    <dataValidation type="list" allowBlank="1" showInputMessage="1" showErrorMessage="1" sqref="R12:V12" xr:uid="{00000000-0002-0000-0000-000007000000}">
      <formula1>$AB$40:$AB$44</formula1>
    </dataValidation>
    <dataValidation type="list" allowBlank="1" showInputMessage="1" showErrorMessage="1" sqref="H16:O16" xr:uid="{00000000-0002-0000-0000-000008000000}">
      <formula1>$D$131:$D$134</formula1>
    </dataValidation>
    <dataValidation type="list" allowBlank="1" showInputMessage="1" showErrorMessage="1" sqref="H13:O13" xr:uid="{00000000-0002-0000-0000-000009000000}">
      <formula1>$D$141:$D$146</formula1>
    </dataValidation>
    <dataValidation type="decimal" allowBlank="1" showInputMessage="1" showErrorMessage="1" sqref="L33:L35 L37:L38 L40:L41 L43 L45 L47 L49 L51 L53:L55 L57:L58" xr:uid="{00000000-0002-0000-0000-00000A000000}">
      <formula1>0.01</formula1>
      <formula2>10</formula2>
    </dataValidation>
    <dataValidation type="list" allowBlank="1" showInputMessage="1" showErrorMessage="1" sqref="H57:H58 H37:H38 H40:H41 H43 H45 H47 H49 H51 H53:H55 H33:H35" xr:uid="{00000000-0002-0000-0000-00000B000000}">
      <formula1>"x"</formula1>
    </dataValidation>
  </dataValidations>
  <hyperlinks>
    <hyperlink ref="H12" r:id="rId1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57" fitToHeight="2" orientation="portrait" r:id="rId2"/>
  <headerFooter>
    <oddHeader>&amp;C&amp;G</oddHeader>
    <oddFooter>&amp;L&amp;"Arial CE,Tučné"Státní fond životního prostředí ČR&amp;"Arial CE,Obyčejné", sídlo: Kaplanova 1931/1, 148 00 Praha 11
korespondenční a kontaktní adresa: Olbrachtova 2006/9, 140 00  Praha 4
&amp;"Arial CE,Tučné"www.novazelenausporam.cz&amp;Rver. 1.0 únor 2025</oddFooter>
  </headerFooter>
  <drawing r:id="rId3"/>
  <legacy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AK329"/>
  <sheetViews>
    <sheetView zoomScaleNormal="130" workbookViewId="0">
      <selection activeCell="D6" sqref="D6"/>
    </sheetView>
  </sheetViews>
  <sheetFormatPr defaultColWidth="0" defaultRowHeight="12.75" zeroHeight="1" outlineLevelCol="1"/>
  <cols>
    <col min="1" max="17" width="9.140625" style="8" customWidth="1"/>
    <col min="18" max="18" width="0" style="8" hidden="1" customWidth="1"/>
    <col min="19" max="31" width="9.140625" style="8" hidden="1" customWidth="1" outlineLevel="1"/>
    <col min="32" max="32" width="0" style="8" hidden="1" customWidth="1" collapsed="1"/>
    <col min="33" max="34" width="0" style="8" hidden="1" customWidth="1"/>
    <col min="35" max="37" width="9.140625" style="8" customWidth="1"/>
    <col min="38" max="40" width="9.140625" style="8" hidden="1" customWidth="1"/>
    <col min="41" max="16384" width="9.140625" style="8" hidden="1"/>
  </cols>
  <sheetData>
    <row r="1" spans="2:31"/>
    <row r="2" spans="2:31"/>
    <row r="3" spans="2:31"/>
    <row r="4" spans="2:31"/>
    <row r="5" spans="2:31">
      <c r="B5" s="2"/>
      <c r="C5" s="3" t="s">
        <v>35</v>
      </c>
      <c r="D5" s="4" t="s">
        <v>36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15.75">
      <c r="B6" s="9"/>
      <c r="C6" s="48">
        <v>1</v>
      </c>
      <c r="D6" s="46" t="s">
        <v>624</v>
      </c>
      <c r="E6" s="43"/>
      <c r="F6" s="43"/>
      <c r="G6" s="43"/>
      <c r="H6" s="43"/>
      <c r="I6" s="43"/>
      <c r="J6" s="43"/>
      <c r="K6" s="43"/>
      <c r="L6" s="43"/>
      <c r="M6" s="43"/>
      <c r="N6" s="151">
        <f>L23</f>
        <v>0.32809705516535642</v>
      </c>
      <c r="O6" s="10"/>
      <c r="P6" s="10"/>
      <c r="Q6" s="11"/>
      <c r="R6" s="7"/>
      <c r="S6" s="7"/>
      <c r="T6" s="12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2:31">
      <c r="B7" s="9"/>
      <c r="Q7" s="11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2:31">
      <c r="B8" s="9"/>
      <c r="D8" s="7"/>
      <c r="E8" s="7"/>
      <c r="G8" s="13" t="s">
        <v>37</v>
      </c>
      <c r="H8" s="45">
        <v>0.13</v>
      </c>
      <c r="Q8" s="11"/>
      <c r="R8" s="7"/>
      <c r="S8" s="7"/>
      <c r="T8" s="7" t="s">
        <v>38</v>
      </c>
      <c r="U8" s="7"/>
      <c r="V8" s="7"/>
      <c r="W8" s="7"/>
      <c r="X8" s="7" t="s">
        <v>39</v>
      </c>
      <c r="Y8" s="7"/>
      <c r="Z8" s="7"/>
      <c r="AA8" s="7"/>
      <c r="AB8" s="7"/>
      <c r="AC8" s="7"/>
      <c r="AD8" s="7"/>
    </row>
    <row r="9" spans="2:31">
      <c r="B9" s="9"/>
      <c r="D9" s="7"/>
      <c r="E9" s="7"/>
      <c r="G9" s="13" t="s">
        <v>40</v>
      </c>
      <c r="H9" s="45">
        <v>0.04</v>
      </c>
      <c r="Q9" s="11"/>
      <c r="R9" s="7"/>
      <c r="U9" s="8" t="s">
        <v>41</v>
      </c>
      <c r="Y9" s="8" t="s">
        <v>42</v>
      </c>
    </row>
    <row r="10" spans="2:31" ht="15.75">
      <c r="B10" s="9"/>
      <c r="D10" s="7"/>
      <c r="E10" s="7"/>
      <c r="I10" s="13"/>
      <c r="J10" s="13"/>
      <c r="P10" s="14"/>
      <c r="Q10" s="11"/>
      <c r="R10" s="7"/>
      <c r="S10" s="7"/>
      <c r="T10" s="15"/>
      <c r="U10" s="12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2:31">
      <c r="B11" s="9"/>
      <c r="C11" s="16" t="s">
        <v>43</v>
      </c>
      <c r="D11" s="7"/>
      <c r="E11" s="7"/>
      <c r="F11" s="17" t="s">
        <v>44</v>
      </c>
      <c r="G11" s="16" t="s">
        <v>45</v>
      </c>
      <c r="H11" s="18"/>
      <c r="I11" s="18"/>
      <c r="J11" s="17" t="s">
        <v>44</v>
      </c>
      <c r="K11" s="16" t="s">
        <v>46</v>
      </c>
      <c r="L11" s="18"/>
      <c r="M11" s="18"/>
      <c r="N11" s="17" t="s">
        <v>44</v>
      </c>
      <c r="P11" s="19" t="s">
        <v>47</v>
      </c>
      <c r="Q11" s="11"/>
      <c r="R11" s="7"/>
      <c r="S11" s="7"/>
      <c r="T11" s="17" t="s">
        <v>48</v>
      </c>
      <c r="U11" s="17" t="s">
        <v>49</v>
      </c>
      <c r="V11" s="17" t="s">
        <v>50</v>
      </c>
      <c r="W11" s="7"/>
      <c r="X11" s="17" t="s">
        <v>48</v>
      </c>
      <c r="Y11" s="17" t="s">
        <v>49</v>
      </c>
      <c r="Z11" s="17" t="s">
        <v>50</v>
      </c>
      <c r="AA11" s="17"/>
      <c r="AB11" s="17" t="s">
        <v>48</v>
      </c>
      <c r="AC11" s="17" t="s">
        <v>49</v>
      </c>
      <c r="AD11" s="17" t="s">
        <v>50</v>
      </c>
      <c r="AE11" s="17" t="s">
        <v>38</v>
      </c>
    </row>
    <row r="12" spans="2:31">
      <c r="B12" s="20" t="s">
        <v>28</v>
      </c>
      <c r="C12" s="362" t="s">
        <v>623</v>
      </c>
      <c r="D12" s="363"/>
      <c r="E12" s="364"/>
      <c r="F12" s="44">
        <v>0.86</v>
      </c>
      <c r="G12" s="362"/>
      <c r="H12" s="363"/>
      <c r="I12" s="364"/>
      <c r="J12" s="44"/>
      <c r="K12" s="362"/>
      <c r="L12" s="363"/>
      <c r="M12" s="364"/>
      <c r="N12" s="44"/>
      <c r="P12" s="47">
        <v>440</v>
      </c>
      <c r="Q12" s="21"/>
      <c r="R12" s="7"/>
      <c r="S12" s="7"/>
      <c r="T12" s="22">
        <f>IF(F12&gt;0,$P12/1000/F12,0)</f>
        <v>0.51162790697674421</v>
      </c>
      <c r="U12" s="22">
        <f t="shared" ref="U12:U19" si="0">IF(J12&gt;0,$P12/1000/J12,$T12)</f>
        <v>0.51162790697674421</v>
      </c>
      <c r="V12" s="22">
        <f t="shared" ref="V12:V19" si="1">IF(N12&gt;0,$P12/1000/N12,$T12)</f>
        <v>0.51162790697674421</v>
      </c>
      <c r="W12" s="7"/>
      <c r="X12" s="22">
        <f>F12</f>
        <v>0.86</v>
      </c>
      <c r="Y12" s="22">
        <f>IF(J12&gt;0,J12,$X12)</f>
        <v>0.86</v>
      </c>
      <c r="Z12" s="22">
        <f>IF(N12&gt;0,N12,$X12)</f>
        <v>0.86</v>
      </c>
      <c r="AA12" s="7"/>
      <c r="AB12" s="23">
        <f>T21</f>
        <v>1</v>
      </c>
      <c r="AC12" s="23">
        <f>U21</f>
        <v>0</v>
      </c>
      <c r="AD12" s="23">
        <f>V21</f>
        <v>0</v>
      </c>
      <c r="AE12" s="22">
        <f>IF(X12&lt;&gt;0,P12/1000/SUMPRODUCT(AB12:AD12,X12:Z12),0)</f>
        <v>0.51162790697674421</v>
      </c>
    </row>
    <row r="13" spans="2:31">
      <c r="B13" s="20" t="s">
        <v>29</v>
      </c>
      <c r="C13" s="362" t="s">
        <v>570</v>
      </c>
      <c r="D13" s="363"/>
      <c r="E13" s="364"/>
      <c r="F13" s="44">
        <v>3.9E-2</v>
      </c>
      <c r="G13" s="362"/>
      <c r="H13" s="363"/>
      <c r="I13" s="364"/>
      <c r="J13" s="44"/>
      <c r="K13" s="362"/>
      <c r="L13" s="363"/>
      <c r="M13" s="364"/>
      <c r="N13" s="44"/>
      <c r="P13" s="47">
        <v>100</v>
      </c>
      <c r="Q13" s="21"/>
      <c r="R13" s="7"/>
      <c r="S13" s="7"/>
      <c r="T13" s="22">
        <f t="shared" ref="T13:T19" si="2">IF(F13&gt;0,$P13/1000/F13,0)</f>
        <v>2.5641025641025643</v>
      </c>
      <c r="U13" s="22">
        <f t="shared" si="0"/>
        <v>2.5641025641025643</v>
      </c>
      <c r="V13" s="22">
        <f t="shared" si="1"/>
        <v>2.5641025641025643</v>
      </c>
      <c r="W13" s="7"/>
      <c r="X13" s="22">
        <f t="shared" ref="X13:X19" si="3">F13</f>
        <v>3.9E-2</v>
      </c>
      <c r="Y13" s="22">
        <f t="shared" ref="Y13:Y19" si="4">IF(J13&gt;0,J13,$X13)</f>
        <v>3.9E-2</v>
      </c>
      <c r="Z13" s="22">
        <f t="shared" ref="Z13:Z19" si="5">IF(N13&gt;0,N13,$X13)</f>
        <v>3.9E-2</v>
      </c>
      <c r="AA13" s="7"/>
      <c r="AB13" s="23">
        <f t="shared" ref="AB13:AD13" si="6">AB12</f>
        <v>1</v>
      </c>
      <c r="AC13" s="23">
        <f t="shared" si="6"/>
        <v>0</v>
      </c>
      <c r="AD13" s="23">
        <f t="shared" si="6"/>
        <v>0</v>
      </c>
      <c r="AE13" s="22">
        <f t="shared" ref="AE13:AE19" si="7">IF(X13&lt;&gt;0,P13/1000/SUMPRODUCT(AB13:AD13,X13:Z13),0)</f>
        <v>2.5641025641025643</v>
      </c>
    </row>
    <row r="14" spans="2:31">
      <c r="B14" s="20" t="s">
        <v>30</v>
      </c>
      <c r="C14" s="362"/>
      <c r="D14" s="363"/>
      <c r="E14" s="364"/>
      <c r="F14" s="44"/>
      <c r="G14" s="362"/>
      <c r="H14" s="363"/>
      <c r="I14" s="364"/>
      <c r="J14" s="44"/>
      <c r="K14" s="362"/>
      <c r="L14" s="363"/>
      <c r="M14" s="364"/>
      <c r="N14" s="44"/>
      <c r="P14" s="47"/>
      <c r="Q14" s="21"/>
      <c r="R14" s="7"/>
      <c r="S14" s="7"/>
      <c r="T14" s="22">
        <f t="shared" si="2"/>
        <v>0</v>
      </c>
      <c r="U14" s="22">
        <f t="shared" si="0"/>
        <v>0</v>
      </c>
      <c r="V14" s="22">
        <f t="shared" si="1"/>
        <v>0</v>
      </c>
      <c r="W14" s="7"/>
      <c r="X14" s="22">
        <f t="shared" si="3"/>
        <v>0</v>
      </c>
      <c r="Y14" s="22">
        <f t="shared" si="4"/>
        <v>0</v>
      </c>
      <c r="Z14" s="22">
        <f t="shared" si="5"/>
        <v>0</v>
      </c>
      <c r="AA14" s="7"/>
      <c r="AB14" s="23">
        <f t="shared" ref="AB14:AD14" si="8">AB13</f>
        <v>1</v>
      </c>
      <c r="AC14" s="23">
        <f t="shared" si="8"/>
        <v>0</v>
      </c>
      <c r="AD14" s="23">
        <f t="shared" si="8"/>
        <v>0</v>
      </c>
      <c r="AE14" s="22">
        <f t="shared" si="7"/>
        <v>0</v>
      </c>
    </row>
    <row r="15" spans="2:31">
      <c r="B15" s="20" t="s">
        <v>31</v>
      </c>
      <c r="C15" s="362"/>
      <c r="D15" s="363"/>
      <c r="E15" s="364"/>
      <c r="F15" s="44"/>
      <c r="G15" s="362"/>
      <c r="H15" s="363"/>
      <c r="I15" s="364"/>
      <c r="J15" s="44"/>
      <c r="K15" s="362"/>
      <c r="L15" s="363"/>
      <c r="M15" s="364"/>
      <c r="N15" s="44"/>
      <c r="P15" s="47"/>
      <c r="Q15" s="21"/>
      <c r="R15" s="7"/>
      <c r="S15" s="7"/>
      <c r="T15" s="22">
        <f t="shared" si="2"/>
        <v>0</v>
      </c>
      <c r="U15" s="22">
        <f t="shared" si="0"/>
        <v>0</v>
      </c>
      <c r="V15" s="22">
        <f t="shared" si="1"/>
        <v>0</v>
      </c>
      <c r="W15" s="7"/>
      <c r="X15" s="22">
        <f t="shared" si="3"/>
        <v>0</v>
      </c>
      <c r="Y15" s="22">
        <f t="shared" si="4"/>
        <v>0</v>
      </c>
      <c r="Z15" s="22">
        <f t="shared" si="5"/>
        <v>0</v>
      </c>
      <c r="AA15" s="7"/>
      <c r="AB15" s="23">
        <f>AB14</f>
        <v>1</v>
      </c>
      <c r="AC15" s="23">
        <f>AC14</f>
        <v>0</v>
      </c>
      <c r="AD15" s="23">
        <f>AD14</f>
        <v>0</v>
      </c>
      <c r="AE15" s="22">
        <f t="shared" si="7"/>
        <v>0</v>
      </c>
    </row>
    <row r="16" spans="2:31">
      <c r="B16" s="20" t="s">
        <v>32</v>
      </c>
      <c r="C16" s="362"/>
      <c r="D16" s="363"/>
      <c r="E16" s="364"/>
      <c r="F16" s="44"/>
      <c r="G16" s="362"/>
      <c r="H16" s="363"/>
      <c r="I16" s="364"/>
      <c r="J16" s="44"/>
      <c r="K16" s="362"/>
      <c r="L16" s="363"/>
      <c r="M16" s="364"/>
      <c r="N16" s="44"/>
      <c r="P16" s="47"/>
      <c r="Q16" s="21"/>
      <c r="R16" s="7"/>
      <c r="S16" s="7"/>
      <c r="T16" s="22">
        <f t="shared" si="2"/>
        <v>0</v>
      </c>
      <c r="U16" s="22">
        <f t="shared" si="0"/>
        <v>0</v>
      </c>
      <c r="V16" s="22">
        <f t="shared" si="1"/>
        <v>0</v>
      </c>
      <c r="W16" s="7"/>
      <c r="X16" s="22">
        <f t="shared" si="3"/>
        <v>0</v>
      </c>
      <c r="Y16" s="22">
        <f t="shared" si="4"/>
        <v>0</v>
      </c>
      <c r="Z16" s="22">
        <f t="shared" si="5"/>
        <v>0</v>
      </c>
      <c r="AA16" s="7"/>
      <c r="AB16" s="23">
        <f t="shared" ref="AB16:AD16" si="9">AB15</f>
        <v>1</v>
      </c>
      <c r="AC16" s="23">
        <f t="shared" si="9"/>
        <v>0</v>
      </c>
      <c r="AD16" s="23">
        <f t="shared" si="9"/>
        <v>0</v>
      </c>
      <c r="AE16" s="22">
        <f t="shared" si="7"/>
        <v>0</v>
      </c>
    </row>
    <row r="17" spans="2:31">
      <c r="B17" s="20" t="s">
        <v>51</v>
      </c>
      <c r="C17" s="362"/>
      <c r="D17" s="363"/>
      <c r="E17" s="364"/>
      <c r="F17" s="44"/>
      <c r="G17" s="362"/>
      <c r="H17" s="363"/>
      <c r="I17" s="364"/>
      <c r="J17" s="44"/>
      <c r="K17" s="362"/>
      <c r="L17" s="363"/>
      <c r="M17" s="364"/>
      <c r="N17" s="44"/>
      <c r="P17" s="47"/>
      <c r="Q17" s="21"/>
      <c r="R17" s="7"/>
      <c r="S17" s="7"/>
      <c r="T17" s="22">
        <f t="shared" si="2"/>
        <v>0</v>
      </c>
      <c r="U17" s="22">
        <f t="shared" si="0"/>
        <v>0</v>
      </c>
      <c r="V17" s="22">
        <f t="shared" si="1"/>
        <v>0</v>
      </c>
      <c r="W17" s="7"/>
      <c r="X17" s="22">
        <f t="shared" si="3"/>
        <v>0</v>
      </c>
      <c r="Y17" s="22">
        <f t="shared" si="4"/>
        <v>0</v>
      </c>
      <c r="Z17" s="22">
        <f t="shared" si="5"/>
        <v>0</v>
      </c>
      <c r="AA17" s="7"/>
      <c r="AB17" s="23">
        <f t="shared" ref="AB17:AD17" si="10">AB16</f>
        <v>1</v>
      </c>
      <c r="AC17" s="23">
        <f t="shared" si="10"/>
        <v>0</v>
      </c>
      <c r="AD17" s="23">
        <f t="shared" si="10"/>
        <v>0</v>
      </c>
      <c r="AE17" s="22">
        <f t="shared" si="7"/>
        <v>0</v>
      </c>
    </row>
    <row r="18" spans="2:31">
      <c r="B18" s="20" t="s">
        <v>52</v>
      </c>
      <c r="C18" s="362"/>
      <c r="D18" s="363"/>
      <c r="E18" s="364"/>
      <c r="F18" s="44"/>
      <c r="G18" s="362"/>
      <c r="H18" s="363"/>
      <c r="I18" s="364"/>
      <c r="J18" s="44"/>
      <c r="K18" s="362"/>
      <c r="L18" s="363"/>
      <c r="M18" s="364"/>
      <c r="N18" s="44"/>
      <c r="P18" s="47"/>
      <c r="Q18" s="21"/>
      <c r="R18" s="7"/>
      <c r="S18" s="7"/>
      <c r="T18" s="22">
        <f t="shared" si="2"/>
        <v>0</v>
      </c>
      <c r="U18" s="22">
        <f t="shared" si="0"/>
        <v>0</v>
      </c>
      <c r="V18" s="22">
        <f t="shared" si="1"/>
        <v>0</v>
      </c>
      <c r="W18" s="7"/>
      <c r="X18" s="22">
        <f t="shared" si="3"/>
        <v>0</v>
      </c>
      <c r="Y18" s="22">
        <f t="shared" si="4"/>
        <v>0</v>
      </c>
      <c r="Z18" s="22">
        <f t="shared" si="5"/>
        <v>0</v>
      </c>
      <c r="AA18" s="7"/>
      <c r="AB18" s="23">
        <f t="shared" ref="AB18:AD18" si="11">AB17</f>
        <v>1</v>
      </c>
      <c r="AC18" s="23">
        <f t="shared" si="11"/>
        <v>0</v>
      </c>
      <c r="AD18" s="23">
        <f t="shared" si="11"/>
        <v>0</v>
      </c>
      <c r="AE18" s="22">
        <f t="shared" si="7"/>
        <v>0</v>
      </c>
    </row>
    <row r="19" spans="2:31">
      <c r="B19" s="20" t="s">
        <v>53</v>
      </c>
      <c r="C19" s="362"/>
      <c r="D19" s="363"/>
      <c r="E19" s="364"/>
      <c r="F19" s="44"/>
      <c r="G19" s="362"/>
      <c r="H19" s="363"/>
      <c r="I19" s="364"/>
      <c r="J19" s="44"/>
      <c r="K19" s="362"/>
      <c r="L19" s="363"/>
      <c r="M19" s="364"/>
      <c r="N19" s="44"/>
      <c r="P19" s="47"/>
      <c r="Q19" s="21"/>
      <c r="R19" s="7"/>
      <c r="S19" s="7"/>
      <c r="T19" s="22">
        <f t="shared" si="2"/>
        <v>0</v>
      </c>
      <c r="U19" s="22">
        <f t="shared" si="0"/>
        <v>0</v>
      </c>
      <c r="V19" s="22">
        <f t="shared" si="1"/>
        <v>0</v>
      </c>
      <c r="W19" s="7"/>
      <c r="X19" s="22">
        <f t="shared" si="3"/>
        <v>0</v>
      </c>
      <c r="Y19" s="22">
        <f t="shared" si="4"/>
        <v>0</v>
      </c>
      <c r="Z19" s="22">
        <f t="shared" si="5"/>
        <v>0</v>
      </c>
      <c r="AA19" s="7"/>
      <c r="AB19" s="23">
        <f t="shared" ref="AB19:AD19" si="12">AB18</f>
        <v>1</v>
      </c>
      <c r="AC19" s="23">
        <f t="shared" si="12"/>
        <v>0</v>
      </c>
      <c r="AD19" s="23">
        <f t="shared" si="12"/>
        <v>0</v>
      </c>
      <c r="AE19" s="22">
        <f t="shared" si="7"/>
        <v>0</v>
      </c>
    </row>
    <row r="20" spans="2:31">
      <c r="B20" s="9"/>
      <c r="C20" s="24"/>
      <c r="D20" s="7"/>
      <c r="E20" s="7"/>
      <c r="F20" s="25" t="s">
        <v>54</v>
      </c>
      <c r="J20" s="25" t="s">
        <v>55</v>
      </c>
      <c r="M20" s="7"/>
      <c r="N20" s="25" t="s">
        <v>56</v>
      </c>
      <c r="P20" s="19" t="s">
        <v>4</v>
      </c>
      <c r="Q20" s="21"/>
      <c r="R20" s="7"/>
      <c r="S20" s="26" t="s">
        <v>57</v>
      </c>
      <c r="T20" s="22">
        <f>IF(ISNUMBER($F12),1/($H8+SUM(T12:T19)+$H9),0)</f>
        <v>0.3080970551653564</v>
      </c>
      <c r="U20" s="22">
        <f>IF(ISNUMBER($F12),1/($H8+SUM(U12:U19)+$H9),0)</f>
        <v>0.3080970551653564</v>
      </c>
      <c r="V20" s="22">
        <f>IF(ISNUMBER($F12),1/($H8+SUM(V12:V19)+$H9),0)</f>
        <v>0.3080970551653564</v>
      </c>
      <c r="W20" s="7"/>
      <c r="X20" s="7"/>
      <c r="Y20" s="7"/>
      <c r="Z20" s="7"/>
      <c r="AA20" s="7"/>
      <c r="AB20" s="7"/>
      <c r="AC20" s="7"/>
      <c r="AD20" s="7"/>
      <c r="AE20" s="22"/>
    </row>
    <row r="21" spans="2:31" ht="18.75">
      <c r="B21" s="9"/>
      <c r="C21" s="24"/>
      <c r="D21" s="24"/>
      <c r="E21" s="24"/>
      <c r="F21" s="27">
        <f>MAX(0,1-J21-N21)</f>
        <v>1</v>
      </c>
      <c r="G21" s="24"/>
      <c r="H21" s="24"/>
      <c r="I21" s="24"/>
      <c r="J21" s="50"/>
      <c r="K21" s="14"/>
      <c r="L21" s="24"/>
      <c r="M21" s="24"/>
      <c r="N21" s="50"/>
      <c r="O21" s="14"/>
      <c r="P21" s="38">
        <f>IF(ISNUMBER(P12),SUM(P12:P20)/10,"")</f>
        <v>54</v>
      </c>
      <c r="Q21" s="28" t="s">
        <v>58</v>
      </c>
      <c r="R21" s="7"/>
      <c r="S21" s="26" t="s">
        <v>59</v>
      </c>
      <c r="T21" s="49">
        <f>1-SUM(U21:V21)</f>
        <v>1</v>
      </c>
      <c r="U21" s="49">
        <f>J21</f>
        <v>0</v>
      </c>
      <c r="V21" s="49">
        <f>N21</f>
        <v>0</v>
      </c>
      <c r="W21" s="26"/>
      <c r="X21" s="7"/>
      <c r="Y21" s="7"/>
      <c r="Z21" s="7"/>
      <c r="AA21" s="7"/>
      <c r="AB21" s="7"/>
      <c r="AC21" s="7"/>
      <c r="AD21" s="7"/>
      <c r="AE21" s="22"/>
    </row>
    <row r="22" spans="2:31">
      <c r="B22" s="9"/>
      <c r="C22" s="39" t="str">
        <f>IF(J21+N21&gt;1,"Součet dílčích ploch je vyšší než 100 %!","")</f>
        <v/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14"/>
      <c r="P22" s="7"/>
      <c r="Q22" s="21"/>
      <c r="R22" s="7"/>
      <c r="S22" s="23"/>
      <c r="T22" s="22"/>
      <c r="U22" s="22"/>
      <c r="V22" s="22"/>
      <c r="W22" s="7"/>
      <c r="X22" s="7"/>
      <c r="Y22" s="7"/>
      <c r="Z22" s="7"/>
      <c r="AA22" s="7"/>
      <c r="AB22" s="7"/>
      <c r="AC22" s="7"/>
      <c r="AD22" s="7"/>
      <c r="AE22" s="22"/>
    </row>
    <row r="23" spans="2:31" ht="18.75">
      <c r="B23" s="9"/>
      <c r="D23" s="7"/>
      <c r="E23" s="18" t="s">
        <v>60</v>
      </c>
      <c r="F23" s="45">
        <v>0.02</v>
      </c>
      <c r="G23" s="24" t="s">
        <v>61</v>
      </c>
      <c r="H23" s="7"/>
      <c r="I23" s="7"/>
      <c r="J23" s="7"/>
      <c r="K23" s="29" t="s">
        <v>62</v>
      </c>
      <c r="L23" s="365">
        <f>IF(ISNUMBER(F12),IF(T24&lt;0.1,1/T23,1/(AE21*1.1))+F23,"")</f>
        <v>0.32809705516535642</v>
      </c>
      <c r="M23" s="366"/>
      <c r="N23" s="24" t="s">
        <v>61</v>
      </c>
      <c r="O23" s="7"/>
      <c r="P23" s="7"/>
      <c r="Q23" s="21"/>
      <c r="R23" s="7"/>
      <c r="S23" s="23" t="s">
        <v>63</v>
      </c>
      <c r="T23" s="22">
        <f>IF(ISNUMBER(F12),AVERAGE(V23,AE23),0)</f>
        <v>3.2457304710793089</v>
      </c>
      <c r="U23" s="23" t="s">
        <v>64</v>
      </c>
      <c r="V23" s="22">
        <f>IF(ISNUMBER(F12),1/SUMPRODUCT(T21:V21,T20:V20),0)</f>
        <v>3.2457304710793089</v>
      </c>
      <c r="W23" s="7"/>
      <c r="X23" s="7"/>
      <c r="Y23" s="7"/>
      <c r="Z23" s="7"/>
      <c r="AA23" s="30"/>
      <c r="AB23" s="30"/>
      <c r="AC23" s="7"/>
      <c r="AD23" s="23" t="s">
        <v>65</v>
      </c>
      <c r="AE23" s="22">
        <f>$H8+SUM(AE12:AE19)+$H9</f>
        <v>3.2457304710793085</v>
      </c>
    </row>
    <row r="24" spans="2:31">
      <c r="B24" s="31"/>
      <c r="C24" s="42" t="str">
        <f>IF(T22&lt;=0.1,"","Chyba výpočtu hodnoty U asi převyšuje 10 %. Spočítat tepelné mosty?")</f>
        <v/>
      </c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32"/>
      <c r="O24" s="32"/>
      <c r="P24" s="34"/>
      <c r="Q24" s="35"/>
      <c r="R24" s="7"/>
      <c r="S24" s="23" t="s">
        <v>66</v>
      </c>
      <c r="T24" s="36">
        <f>IF(ISNUMBER(F12),(V23-AE23)/(2*T23),0)</f>
        <v>6.8411288892757139E-17</v>
      </c>
      <c r="U24" s="37"/>
      <c r="V24" s="7"/>
      <c r="W24" s="23"/>
      <c r="X24" s="7"/>
      <c r="Y24" s="7"/>
      <c r="Z24" s="7"/>
      <c r="AA24" s="7"/>
      <c r="AB24" s="7"/>
      <c r="AC24" s="7"/>
      <c r="AD24" s="7"/>
    </row>
    <row r="25" spans="2:31"/>
    <row r="26" spans="2:31">
      <c r="B26" s="2"/>
      <c r="C26" s="3" t="s">
        <v>35</v>
      </c>
      <c r="D26" s="4" t="s">
        <v>36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2:31" ht="15.75">
      <c r="B27" s="9"/>
      <c r="C27" s="48"/>
      <c r="D27" s="46"/>
      <c r="E27" s="43"/>
      <c r="F27" s="43"/>
      <c r="G27" s="43"/>
      <c r="H27" s="43"/>
      <c r="I27" s="43"/>
      <c r="J27" s="43"/>
      <c r="K27" s="43"/>
      <c r="L27" s="43"/>
      <c r="M27" s="43"/>
      <c r="N27" s="151" t="str">
        <f>L44</f>
        <v/>
      </c>
      <c r="O27" s="10"/>
      <c r="P27" s="10"/>
      <c r="Q27" s="11"/>
      <c r="R27" s="7"/>
      <c r="S27" s="7"/>
      <c r="T27" s="12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2:31">
      <c r="B28" s="9"/>
      <c r="Q28" s="11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2:31">
      <c r="B29" s="9"/>
      <c r="D29" s="7"/>
      <c r="E29" s="7"/>
      <c r="G29" s="13" t="s">
        <v>37</v>
      </c>
      <c r="H29" s="45"/>
      <c r="Q29" s="11"/>
      <c r="R29" s="7"/>
      <c r="S29" s="7"/>
      <c r="T29" s="7" t="s">
        <v>38</v>
      </c>
      <c r="U29" s="7"/>
      <c r="V29" s="7"/>
      <c r="W29" s="7"/>
      <c r="X29" s="7" t="s">
        <v>39</v>
      </c>
      <c r="Y29" s="7"/>
      <c r="Z29" s="7"/>
      <c r="AA29" s="7"/>
      <c r="AB29" s="7"/>
      <c r="AC29" s="7"/>
      <c r="AD29" s="7"/>
    </row>
    <row r="30" spans="2:31">
      <c r="B30" s="9"/>
      <c r="D30" s="7"/>
      <c r="E30" s="7"/>
      <c r="G30" s="13" t="s">
        <v>40</v>
      </c>
      <c r="H30" s="45"/>
      <c r="Q30" s="11"/>
      <c r="R30" s="7"/>
      <c r="U30" s="8" t="s">
        <v>41</v>
      </c>
      <c r="Y30" s="8" t="s">
        <v>42</v>
      </c>
    </row>
    <row r="31" spans="2:31" ht="15.75">
      <c r="B31" s="9"/>
      <c r="D31" s="7"/>
      <c r="E31" s="7"/>
      <c r="I31" s="13"/>
      <c r="J31" s="13"/>
      <c r="P31" s="14"/>
      <c r="Q31" s="11"/>
      <c r="R31" s="7"/>
      <c r="S31" s="7"/>
      <c r="T31" s="15"/>
      <c r="U31" s="12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2:31">
      <c r="B32" s="9"/>
      <c r="C32" s="16" t="s">
        <v>43</v>
      </c>
      <c r="D32" s="7"/>
      <c r="E32" s="7"/>
      <c r="F32" s="17" t="s">
        <v>44</v>
      </c>
      <c r="G32" s="16" t="s">
        <v>45</v>
      </c>
      <c r="H32" s="18"/>
      <c r="I32" s="18"/>
      <c r="J32" s="17" t="s">
        <v>44</v>
      </c>
      <c r="K32" s="16" t="s">
        <v>46</v>
      </c>
      <c r="L32" s="18"/>
      <c r="M32" s="18"/>
      <c r="N32" s="17" t="s">
        <v>44</v>
      </c>
      <c r="P32" s="19" t="s">
        <v>47</v>
      </c>
      <c r="Q32" s="11"/>
      <c r="R32" s="7"/>
      <c r="S32" s="7"/>
      <c r="T32" s="17" t="s">
        <v>48</v>
      </c>
      <c r="U32" s="17" t="s">
        <v>49</v>
      </c>
      <c r="V32" s="17" t="s">
        <v>50</v>
      </c>
      <c r="W32" s="7"/>
      <c r="X32" s="17" t="s">
        <v>48</v>
      </c>
      <c r="Y32" s="17" t="s">
        <v>49</v>
      </c>
      <c r="Z32" s="17" t="s">
        <v>50</v>
      </c>
      <c r="AA32" s="17"/>
      <c r="AB32" s="17" t="s">
        <v>48</v>
      </c>
      <c r="AC32" s="17" t="s">
        <v>49</v>
      </c>
      <c r="AD32" s="17" t="s">
        <v>50</v>
      </c>
      <c r="AE32" s="17" t="s">
        <v>38</v>
      </c>
    </row>
    <row r="33" spans="2:31">
      <c r="B33" s="20" t="s">
        <v>28</v>
      </c>
      <c r="C33" s="362"/>
      <c r="D33" s="363"/>
      <c r="E33" s="364"/>
      <c r="F33" s="44"/>
      <c r="G33" s="362"/>
      <c r="H33" s="363"/>
      <c r="I33" s="364"/>
      <c r="J33" s="44"/>
      <c r="K33" s="362"/>
      <c r="L33" s="363"/>
      <c r="M33" s="364"/>
      <c r="N33" s="44"/>
      <c r="P33" s="47"/>
      <c r="Q33" s="21"/>
      <c r="R33" s="7"/>
      <c r="S33" s="7"/>
      <c r="T33" s="22">
        <f>IF(F33&gt;0,$P33/1000/F33,0)</f>
        <v>0</v>
      </c>
      <c r="U33" s="22">
        <f t="shared" ref="U33:U40" si="13">IF(J33&gt;0,$P33/1000/J33,$T33)</f>
        <v>0</v>
      </c>
      <c r="V33" s="22">
        <f t="shared" ref="V33:V40" si="14">IF(N33&gt;0,$P33/1000/N33,$T33)</f>
        <v>0</v>
      </c>
      <c r="W33" s="7"/>
      <c r="X33" s="22">
        <f>F33</f>
        <v>0</v>
      </c>
      <c r="Y33" s="22">
        <f>IF(J33&gt;0,J33,$X33)</f>
        <v>0</v>
      </c>
      <c r="Z33" s="22">
        <f>IF(N33&gt;0,N33,$X33)</f>
        <v>0</v>
      </c>
      <c r="AA33" s="7"/>
      <c r="AB33" s="23">
        <f>T42</f>
        <v>1</v>
      </c>
      <c r="AC33" s="23">
        <f>U42</f>
        <v>0</v>
      </c>
      <c r="AD33" s="23">
        <f>V42</f>
        <v>0</v>
      </c>
      <c r="AE33" s="22">
        <f>IF(X33&lt;&gt;0,P33/1000/SUMPRODUCT(AB33:AD33,X33:Z33),0)</f>
        <v>0</v>
      </c>
    </row>
    <row r="34" spans="2:31">
      <c r="B34" s="20" t="s">
        <v>29</v>
      </c>
      <c r="C34" s="362"/>
      <c r="D34" s="363"/>
      <c r="E34" s="364"/>
      <c r="F34" s="44"/>
      <c r="G34" s="362"/>
      <c r="H34" s="363"/>
      <c r="I34" s="364"/>
      <c r="J34" s="44"/>
      <c r="K34" s="362"/>
      <c r="L34" s="363"/>
      <c r="M34" s="364"/>
      <c r="N34" s="44"/>
      <c r="P34" s="47"/>
      <c r="Q34" s="21"/>
      <c r="R34" s="7"/>
      <c r="S34" s="7"/>
      <c r="T34" s="22">
        <f t="shared" ref="T34:T40" si="15">IF(F34&gt;0,$P34/1000/F34,0)</f>
        <v>0</v>
      </c>
      <c r="U34" s="22">
        <f t="shared" si="13"/>
        <v>0</v>
      </c>
      <c r="V34" s="22">
        <f t="shared" si="14"/>
        <v>0</v>
      </c>
      <c r="W34" s="7"/>
      <c r="X34" s="22">
        <f t="shared" ref="X34:X40" si="16">F34</f>
        <v>0</v>
      </c>
      <c r="Y34" s="22">
        <f t="shared" ref="Y34:Y40" si="17">IF(J34&gt;0,J34,$X34)</f>
        <v>0</v>
      </c>
      <c r="Z34" s="22">
        <f t="shared" ref="Z34:Z40" si="18">IF(N34&gt;0,N34,$X34)</f>
        <v>0</v>
      </c>
      <c r="AA34" s="7"/>
      <c r="AB34" s="23">
        <f t="shared" ref="AB34:AD40" si="19">AB33</f>
        <v>1</v>
      </c>
      <c r="AC34" s="23">
        <f t="shared" si="19"/>
        <v>0</v>
      </c>
      <c r="AD34" s="23">
        <f t="shared" si="19"/>
        <v>0</v>
      </c>
      <c r="AE34" s="22">
        <f t="shared" ref="AE34:AE40" si="20">IF(X34&lt;&gt;0,P34/1000/SUMPRODUCT(AB34:AD34,X34:Z34),0)</f>
        <v>0</v>
      </c>
    </row>
    <row r="35" spans="2:31">
      <c r="B35" s="20" t="s">
        <v>30</v>
      </c>
      <c r="C35" s="362"/>
      <c r="D35" s="363"/>
      <c r="E35" s="364"/>
      <c r="F35" s="44"/>
      <c r="G35" s="362"/>
      <c r="H35" s="363"/>
      <c r="I35" s="364"/>
      <c r="J35" s="44"/>
      <c r="K35" s="362"/>
      <c r="L35" s="363"/>
      <c r="M35" s="364"/>
      <c r="N35" s="44"/>
      <c r="P35" s="47"/>
      <c r="Q35" s="21"/>
      <c r="R35" s="7"/>
      <c r="S35" s="7"/>
      <c r="T35" s="22">
        <f t="shared" si="15"/>
        <v>0</v>
      </c>
      <c r="U35" s="22">
        <f t="shared" si="13"/>
        <v>0</v>
      </c>
      <c r="V35" s="22">
        <f t="shared" si="14"/>
        <v>0</v>
      </c>
      <c r="W35" s="7"/>
      <c r="X35" s="22">
        <f t="shared" si="16"/>
        <v>0</v>
      </c>
      <c r="Y35" s="22">
        <f t="shared" si="17"/>
        <v>0</v>
      </c>
      <c r="Z35" s="22">
        <f t="shared" si="18"/>
        <v>0</v>
      </c>
      <c r="AA35" s="7"/>
      <c r="AB35" s="23">
        <f t="shared" si="19"/>
        <v>1</v>
      </c>
      <c r="AC35" s="23">
        <f t="shared" si="19"/>
        <v>0</v>
      </c>
      <c r="AD35" s="23">
        <f t="shared" si="19"/>
        <v>0</v>
      </c>
      <c r="AE35" s="22">
        <f t="shared" si="20"/>
        <v>0</v>
      </c>
    </row>
    <row r="36" spans="2:31">
      <c r="B36" s="20" t="s">
        <v>31</v>
      </c>
      <c r="C36" s="362"/>
      <c r="D36" s="363"/>
      <c r="E36" s="364"/>
      <c r="F36" s="44"/>
      <c r="G36" s="362"/>
      <c r="H36" s="363"/>
      <c r="I36" s="364"/>
      <c r="J36" s="44"/>
      <c r="K36" s="362"/>
      <c r="L36" s="363"/>
      <c r="M36" s="364"/>
      <c r="N36" s="44"/>
      <c r="P36" s="47"/>
      <c r="Q36" s="21"/>
      <c r="R36" s="7"/>
      <c r="S36" s="7"/>
      <c r="T36" s="22">
        <f t="shared" si="15"/>
        <v>0</v>
      </c>
      <c r="U36" s="22">
        <f t="shared" si="13"/>
        <v>0</v>
      </c>
      <c r="V36" s="22">
        <f t="shared" si="14"/>
        <v>0</v>
      </c>
      <c r="W36" s="7"/>
      <c r="X36" s="22">
        <f t="shared" si="16"/>
        <v>0</v>
      </c>
      <c r="Y36" s="22">
        <f t="shared" si="17"/>
        <v>0</v>
      </c>
      <c r="Z36" s="22">
        <f t="shared" si="18"/>
        <v>0</v>
      </c>
      <c r="AA36" s="7"/>
      <c r="AB36" s="23">
        <f>AB35</f>
        <v>1</v>
      </c>
      <c r="AC36" s="23">
        <f>AC35</f>
        <v>0</v>
      </c>
      <c r="AD36" s="23">
        <f>AD35</f>
        <v>0</v>
      </c>
      <c r="AE36" s="22">
        <f t="shared" si="20"/>
        <v>0</v>
      </c>
    </row>
    <row r="37" spans="2:31">
      <c r="B37" s="20" t="s">
        <v>32</v>
      </c>
      <c r="C37" s="362"/>
      <c r="D37" s="363"/>
      <c r="E37" s="364"/>
      <c r="F37" s="44"/>
      <c r="G37" s="362"/>
      <c r="H37" s="363"/>
      <c r="I37" s="364"/>
      <c r="J37" s="44"/>
      <c r="K37" s="362"/>
      <c r="L37" s="363"/>
      <c r="M37" s="364"/>
      <c r="N37" s="44"/>
      <c r="P37" s="47"/>
      <c r="Q37" s="21"/>
      <c r="R37" s="7"/>
      <c r="S37" s="7"/>
      <c r="T37" s="22">
        <f t="shared" si="15"/>
        <v>0</v>
      </c>
      <c r="U37" s="22">
        <f t="shared" si="13"/>
        <v>0</v>
      </c>
      <c r="V37" s="22">
        <f t="shared" si="14"/>
        <v>0</v>
      </c>
      <c r="W37" s="7"/>
      <c r="X37" s="22">
        <f t="shared" si="16"/>
        <v>0</v>
      </c>
      <c r="Y37" s="22">
        <f t="shared" si="17"/>
        <v>0</v>
      </c>
      <c r="Z37" s="22">
        <f t="shared" si="18"/>
        <v>0</v>
      </c>
      <c r="AA37" s="7"/>
      <c r="AB37" s="23">
        <f t="shared" si="19"/>
        <v>1</v>
      </c>
      <c r="AC37" s="23">
        <f t="shared" si="19"/>
        <v>0</v>
      </c>
      <c r="AD37" s="23">
        <f t="shared" si="19"/>
        <v>0</v>
      </c>
      <c r="AE37" s="22">
        <f t="shared" si="20"/>
        <v>0</v>
      </c>
    </row>
    <row r="38" spans="2:31">
      <c r="B38" s="20" t="s">
        <v>51</v>
      </c>
      <c r="C38" s="362"/>
      <c r="D38" s="363"/>
      <c r="E38" s="364"/>
      <c r="F38" s="44"/>
      <c r="G38" s="362"/>
      <c r="H38" s="363"/>
      <c r="I38" s="364"/>
      <c r="J38" s="44"/>
      <c r="K38" s="362"/>
      <c r="L38" s="363"/>
      <c r="M38" s="364"/>
      <c r="N38" s="44"/>
      <c r="P38" s="47"/>
      <c r="Q38" s="21"/>
      <c r="R38" s="7"/>
      <c r="S38" s="7"/>
      <c r="T38" s="22">
        <f t="shared" si="15"/>
        <v>0</v>
      </c>
      <c r="U38" s="22">
        <f t="shared" si="13"/>
        <v>0</v>
      </c>
      <c r="V38" s="22">
        <f t="shared" si="14"/>
        <v>0</v>
      </c>
      <c r="W38" s="7"/>
      <c r="X38" s="22">
        <f t="shared" si="16"/>
        <v>0</v>
      </c>
      <c r="Y38" s="22">
        <f t="shared" si="17"/>
        <v>0</v>
      </c>
      <c r="Z38" s="22">
        <f t="shared" si="18"/>
        <v>0</v>
      </c>
      <c r="AA38" s="7"/>
      <c r="AB38" s="23">
        <f t="shared" si="19"/>
        <v>1</v>
      </c>
      <c r="AC38" s="23">
        <f t="shared" si="19"/>
        <v>0</v>
      </c>
      <c r="AD38" s="23">
        <f t="shared" si="19"/>
        <v>0</v>
      </c>
      <c r="AE38" s="22">
        <f t="shared" si="20"/>
        <v>0</v>
      </c>
    </row>
    <row r="39" spans="2:31">
      <c r="B39" s="20" t="s">
        <v>52</v>
      </c>
      <c r="C39" s="362"/>
      <c r="D39" s="363"/>
      <c r="E39" s="364"/>
      <c r="F39" s="44"/>
      <c r="G39" s="362"/>
      <c r="H39" s="363"/>
      <c r="I39" s="364"/>
      <c r="J39" s="44"/>
      <c r="K39" s="362"/>
      <c r="L39" s="363"/>
      <c r="M39" s="364"/>
      <c r="N39" s="44"/>
      <c r="P39" s="47"/>
      <c r="Q39" s="21"/>
      <c r="R39" s="7"/>
      <c r="S39" s="7"/>
      <c r="T39" s="22">
        <f t="shared" si="15"/>
        <v>0</v>
      </c>
      <c r="U39" s="22">
        <f t="shared" si="13"/>
        <v>0</v>
      </c>
      <c r="V39" s="22">
        <f t="shared" si="14"/>
        <v>0</v>
      </c>
      <c r="W39" s="7"/>
      <c r="X39" s="22">
        <f t="shared" si="16"/>
        <v>0</v>
      </c>
      <c r="Y39" s="22">
        <f t="shared" si="17"/>
        <v>0</v>
      </c>
      <c r="Z39" s="22">
        <f t="shared" si="18"/>
        <v>0</v>
      </c>
      <c r="AA39" s="7"/>
      <c r="AB39" s="23">
        <f t="shared" si="19"/>
        <v>1</v>
      </c>
      <c r="AC39" s="23">
        <f t="shared" si="19"/>
        <v>0</v>
      </c>
      <c r="AD39" s="23">
        <f t="shared" si="19"/>
        <v>0</v>
      </c>
      <c r="AE39" s="22">
        <f t="shared" si="20"/>
        <v>0</v>
      </c>
    </row>
    <row r="40" spans="2:31">
      <c r="B40" s="20" t="s">
        <v>53</v>
      </c>
      <c r="C40" s="362"/>
      <c r="D40" s="363"/>
      <c r="E40" s="364"/>
      <c r="F40" s="44"/>
      <c r="G40" s="362"/>
      <c r="H40" s="363"/>
      <c r="I40" s="364"/>
      <c r="J40" s="44"/>
      <c r="K40" s="362"/>
      <c r="L40" s="363"/>
      <c r="M40" s="364"/>
      <c r="N40" s="44"/>
      <c r="P40" s="47"/>
      <c r="Q40" s="21"/>
      <c r="R40" s="7"/>
      <c r="S40" s="7"/>
      <c r="T40" s="22">
        <f t="shared" si="15"/>
        <v>0</v>
      </c>
      <c r="U40" s="22">
        <f t="shared" si="13"/>
        <v>0</v>
      </c>
      <c r="V40" s="22">
        <f t="shared" si="14"/>
        <v>0</v>
      </c>
      <c r="W40" s="7"/>
      <c r="X40" s="22">
        <f t="shared" si="16"/>
        <v>0</v>
      </c>
      <c r="Y40" s="22">
        <f t="shared" si="17"/>
        <v>0</v>
      </c>
      <c r="Z40" s="22">
        <f t="shared" si="18"/>
        <v>0</v>
      </c>
      <c r="AA40" s="7"/>
      <c r="AB40" s="23">
        <f t="shared" si="19"/>
        <v>1</v>
      </c>
      <c r="AC40" s="23">
        <f t="shared" si="19"/>
        <v>0</v>
      </c>
      <c r="AD40" s="23">
        <f t="shared" si="19"/>
        <v>0</v>
      </c>
      <c r="AE40" s="22">
        <f t="shared" si="20"/>
        <v>0</v>
      </c>
    </row>
    <row r="41" spans="2:31">
      <c r="B41" s="9"/>
      <c r="C41" s="24"/>
      <c r="D41" s="7"/>
      <c r="E41" s="7"/>
      <c r="F41" s="25" t="s">
        <v>54</v>
      </c>
      <c r="J41" s="25" t="s">
        <v>55</v>
      </c>
      <c r="M41" s="7"/>
      <c r="N41" s="25" t="s">
        <v>56</v>
      </c>
      <c r="P41" s="19" t="s">
        <v>4</v>
      </c>
      <c r="Q41" s="21"/>
      <c r="R41" s="7"/>
      <c r="S41" s="26" t="s">
        <v>57</v>
      </c>
      <c r="T41" s="22">
        <f>IF(ISNUMBER($F33),1/($H29+SUM(T33:T40)+$H30),0)</f>
        <v>0</v>
      </c>
      <c r="U41" s="22">
        <f>IF(ISNUMBER($F33),1/($H29+SUM(U33:U40)+$H30),0)</f>
        <v>0</v>
      </c>
      <c r="V41" s="22">
        <f>IF(ISNUMBER($F33),1/($H29+SUM(V33:V40)+$H30),0)</f>
        <v>0</v>
      </c>
      <c r="W41" s="7"/>
      <c r="X41" s="7"/>
      <c r="Y41" s="7"/>
      <c r="Z41" s="7"/>
      <c r="AA41" s="7"/>
      <c r="AB41" s="7"/>
      <c r="AC41" s="7"/>
      <c r="AD41" s="7"/>
      <c r="AE41" s="22"/>
    </row>
    <row r="42" spans="2:31" ht="18.75">
      <c r="B42" s="9"/>
      <c r="C42" s="24"/>
      <c r="D42" s="24"/>
      <c r="E42" s="24"/>
      <c r="F42" s="27">
        <f>MAX(0,1-J42-N42)</f>
        <v>1</v>
      </c>
      <c r="G42" s="24"/>
      <c r="H42" s="24"/>
      <c r="I42" s="24"/>
      <c r="J42" s="50"/>
      <c r="K42" s="14"/>
      <c r="L42" s="24"/>
      <c r="M42" s="24"/>
      <c r="N42" s="50"/>
      <c r="O42" s="14"/>
      <c r="P42" s="38" t="str">
        <f>IF(ISNUMBER(P33),SUM(P33:P41)/10,"")</f>
        <v/>
      </c>
      <c r="Q42" s="28" t="s">
        <v>58</v>
      </c>
      <c r="R42" s="7"/>
      <c r="S42" s="26" t="s">
        <v>59</v>
      </c>
      <c r="T42" s="49">
        <f>1-SUM(U42:V42)</f>
        <v>1</v>
      </c>
      <c r="U42" s="49">
        <f>J42</f>
        <v>0</v>
      </c>
      <c r="V42" s="49">
        <f>N42</f>
        <v>0</v>
      </c>
      <c r="W42" s="26"/>
      <c r="X42" s="7"/>
      <c r="Y42" s="7"/>
      <c r="Z42" s="7"/>
      <c r="AA42" s="7"/>
      <c r="AB42" s="7"/>
      <c r="AC42" s="7"/>
      <c r="AD42" s="7"/>
      <c r="AE42" s="22"/>
    </row>
    <row r="43" spans="2:31">
      <c r="B43" s="9"/>
      <c r="C43" s="39" t="str">
        <f>IF(J42+N42&gt;1,"Součet dílčích ploch je vyšší než 100 %!","")</f>
        <v/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14"/>
      <c r="P43" s="7"/>
      <c r="Q43" s="21"/>
      <c r="R43" s="7"/>
      <c r="S43" s="23"/>
      <c r="T43" s="22"/>
      <c r="U43" s="22"/>
      <c r="V43" s="22"/>
      <c r="W43" s="7"/>
      <c r="X43" s="7"/>
      <c r="Y43" s="7"/>
      <c r="Z43" s="7"/>
      <c r="AA43" s="7"/>
      <c r="AB43" s="7"/>
      <c r="AC43" s="7"/>
      <c r="AD43" s="7"/>
      <c r="AE43" s="22"/>
    </row>
    <row r="44" spans="2:31" ht="18.75">
      <c r="B44" s="9"/>
      <c r="D44" s="7"/>
      <c r="E44" s="18" t="s">
        <v>60</v>
      </c>
      <c r="F44" s="45">
        <v>1.2E-2</v>
      </c>
      <c r="G44" s="24" t="s">
        <v>61</v>
      </c>
      <c r="H44" s="7"/>
      <c r="I44" s="7"/>
      <c r="J44" s="7"/>
      <c r="K44" s="29" t="s">
        <v>62</v>
      </c>
      <c r="L44" s="365" t="str">
        <f>IF(ISNUMBER(F33),IF(T45&lt;0.1,1/T44,1/(AE44*1.1))+F44,"")</f>
        <v/>
      </c>
      <c r="M44" s="366"/>
      <c r="N44" s="24" t="s">
        <v>61</v>
      </c>
      <c r="O44" s="7"/>
      <c r="P44" s="7"/>
      <c r="Q44" s="21"/>
      <c r="R44" s="7"/>
      <c r="S44" s="23" t="s">
        <v>63</v>
      </c>
      <c r="T44" s="22">
        <f>IF(ISNUMBER(F33),AVERAGE(V44,AE44),0)</f>
        <v>0</v>
      </c>
      <c r="U44" s="23" t="s">
        <v>64</v>
      </c>
      <c r="V44" s="22">
        <f>IF(ISNUMBER(F33),1/SUMPRODUCT(T42:V42,T41:V41),0)</f>
        <v>0</v>
      </c>
      <c r="W44" s="7"/>
      <c r="X44" s="7"/>
      <c r="Y44" s="7"/>
      <c r="Z44" s="7"/>
      <c r="AA44" s="30"/>
      <c r="AB44" s="30"/>
      <c r="AC44" s="7"/>
      <c r="AD44" s="23" t="s">
        <v>65</v>
      </c>
      <c r="AE44" s="22">
        <f>$H29+SUM(AE33:AE40)+$H30</f>
        <v>0</v>
      </c>
    </row>
    <row r="45" spans="2:31">
      <c r="B45" s="31"/>
      <c r="C45" s="42" t="str">
        <f>IF(T45&lt;=0.1,"","Chyba výpočtu hodnoty U asi převyšuje 10 %. Spočítat tepelné mosty?")</f>
        <v/>
      </c>
      <c r="D45" s="32"/>
      <c r="E45" s="32"/>
      <c r="F45" s="33"/>
      <c r="G45" s="32"/>
      <c r="H45" s="32"/>
      <c r="I45" s="32"/>
      <c r="J45" s="32"/>
      <c r="K45" s="32"/>
      <c r="L45" s="32"/>
      <c r="M45" s="32"/>
      <c r="N45" s="32"/>
      <c r="O45" s="32"/>
      <c r="P45" s="34"/>
      <c r="Q45" s="35"/>
      <c r="R45" s="7"/>
      <c r="S45" s="23" t="s">
        <v>66</v>
      </c>
      <c r="T45" s="36">
        <f>IF(ISNUMBER(F33),(V44-AE44)/(2*T44),0)</f>
        <v>0</v>
      </c>
      <c r="U45" s="37"/>
      <c r="V45" s="7"/>
      <c r="W45" s="23"/>
      <c r="X45" s="7"/>
      <c r="Y45" s="7"/>
      <c r="Z45" s="7"/>
      <c r="AA45" s="7"/>
      <c r="AB45" s="7"/>
      <c r="AC45" s="7"/>
      <c r="AD45" s="7"/>
    </row>
    <row r="46" spans="2:31"/>
    <row r="47" spans="2:31">
      <c r="B47" s="2"/>
      <c r="C47" s="3" t="s">
        <v>35</v>
      </c>
      <c r="D47" s="4" t="s">
        <v>36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6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2:31" ht="15.75">
      <c r="B48" s="9"/>
      <c r="C48" s="48"/>
      <c r="D48" s="46"/>
      <c r="E48" s="43"/>
      <c r="F48" s="43"/>
      <c r="G48" s="43"/>
      <c r="H48" s="43"/>
      <c r="I48" s="43"/>
      <c r="J48" s="43"/>
      <c r="K48" s="43"/>
      <c r="L48" s="43"/>
      <c r="M48" s="43"/>
      <c r="N48" s="151" t="str">
        <f>L65</f>
        <v/>
      </c>
      <c r="O48" s="10"/>
      <c r="P48" s="10"/>
      <c r="Q48" s="11"/>
      <c r="R48" s="7"/>
      <c r="S48" s="7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2:31">
      <c r="B49" s="9"/>
      <c r="Q49" s="11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2:31">
      <c r="B50" s="9"/>
      <c r="D50" s="7"/>
      <c r="E50" s="7"/>
      <c r="G50" s="13" t="s">
        <v>37</v>
      </c>
      <c r="H50" s="45"/>
      <c r="Q50" s="11"/>
      <c r="R50" s="7"/>
      <c r="S50" s="7"/>
      <c r="T50" s="7" t="s">
        <v>38</v>
      </c>
      <c r="U50" s="7"/>
      <c r="V50" s="7"/>
      <c r="W50" s="7"/>
      <c r="X50" s="7" t="s">
        <v>39</v>
      </c>
      <c r="Y50" s="7"/>
      <c r="Z50" s="7"/>
      <c r="AA50" s="7"/>
      <c r="AB50" s="7"/>
      <c r="AC50" s="7"/>
      <c r="AD50" s="7"/>
    </row>
    <row r="51" spans="2:31">
      <c r="B51" s="9"/>
      <c r="D51" s="7"/>
      <c r="E51" s="7"/>
      <c r="G51" s="13" t="s">
        <v>40</v>
      </c>
      <c r="H51" s="45"/>
      <c r="Q51" s="11"/>
      <c r="R51" s="7"/>
      <c r="U51" s="8" t="s">
        <v>41</v>
      </c>
      <c r="Y51" s="8" t="s">
        <v>42</v>
      </c>
    </row>
    <row r="52" spans="2:31" ht="15.75">
      <c r="B52" s="9"/>
      <c r="D52" s="7"/>
      <c r="E52" s="7"/>
      <c r="I52" s="13"/>
      <c r="J52" s="13"/>
      <c r="P52" s="14"/>
      <c r="Q52" s="11"/>
      <c r="R52" s="7"/>
      <c r="S52" s="7"/>
      <c r="T52" s="15"/>
      <c r="U52" s="12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9"/>
      <c r="C53" s="16" t="s">
        <v>43</v>
      </c>
      <c r="D53" s="7"/>
      <c r="E53" s="7"/>
      <c r="F53" s="17" t="s">
        <v>44</v>
      </c>
      <c r="G53" s="16" t="s">
        <v>45</v>
      </c>
      <c r="H53" s="18"/>
      <c r="I53" s="18"/>
      <c r="J53" s="17" t="s">
        <v>44</v>
      </c>
      <c r="K53" s="16" t="s">
        <v>46</v>
      </c>
      <c r="L53" s="18"/>
      <c r="M53" s="18"/>
      <c r="N53" s="17" t="s">
        <v>44</v>
      </c>
      <c r="P53" s="19" t="s">
        <v>47</v>
      </c>
      <c r="Q53" s="11"/>
      <c r="R53" s="7"/>
      <c r="S53" s="7"/>
      <c r="T53" s="17" t="s">
        <v>48</v>
      </c>
      <c r="U53" s="17" t="s">
        <v>49</v>
      </c>
      <c r="V53" s="17" t="s">
        <v>50</v>
      </c>
      <c r="W53" s="7"/>
      <c r="X53" s="17" t="s">
        <v>48</v>
      </c>
      <c r="Y53" s="17" t="s">
        <v>49</v>
      </c>
      <c r="Z53" s="17" t="s">
        <v>50</v>
      </c>
      <c r="AA53" s="17"/>
      <c r="AB53" s="17" t="s">
        <v>48</v>
      </c>
      <c r="AC53" s="17" t="s">
        <v>49</v>
      </c>
      <c r="AD53" s="17" t="s">
        <v>50</v>
      </c>
      <c r="AE53" s="17" t="s">
        <v>38</v>
      </c>
    </row>
    <row r="54" spans="2:31">
      <c r="B54" s="20" t="s">
        <v>28</v>
      </c>
      <c r="C54" s="362"/>
      <c r="D54" s="363"/>
      <c r="E54" s="364"/>
      <c r="F54" s="44"/>
      <c r="G54" s="362"/>
      <c r="H54" s="363"/>
      <c r="I54" s="364"/>
      <c r="J54" s="44"/>
      <c r="K54" s="362"/>
      <c r="L54" s="363"/>
      <c r="M54" s="364"/>
      <c r="N54" s="44"/>
      <c r="P54" s="47"/>
      <c r="Q54" s="21"/>
      <c r="R54" s="7"/>
      <c r="S54" s="7"/>
      <c r="T54" s="22">
        <f>IF(F54&gt;0,$P54/1000/F54,0)</f>
        <v>0</v>
      </c>
      <c r="U54" s="22">
        <f t="shared" ref="U54:U61" si="21">IF(J54&gt;0,$P54/1000/J54,$T54)</f>
        <v>0</v>
      </c>
      <c r="V54" s="22">
        <f t="shared" ref="V54:V61" si="22">IF(N54&gt;0,$P54/1000/N54,$T54)</f>
        <v>0</v>
      </c>
      <c r="W54" s="7"/>
      <c r="X54" s="22">
        <f>F54</f>
        <v>0</v>
      </c>
      <c r="Y54" s="22">
        <f>IF(J54&gt;0,J54,$X54)</f>
        <v>0</v>
      </c>
      <c r="Z54" s="22">
        <f>IF(N54&gt;0,N54,$X54)</f>
        <v>0</v>
      </c>
      <c r="AA54" s="7"/>
      <c r="AB54" s="23">
        <f>T63</f>
        <v>1</v>
      </c>
      <c r="AC54" s="23">
        <f>U63</f>
        <v>0</v>
      </c>
      <c r="AD54" s="23">
        <f>V63</f>
        <v>0</v>
      </c>
      <c r="AE54" s="22">
        <f>IF(X54&lt;&gt;0,P54/1000/SUMPRODUCT(AB54:AD54,X54:Z54),0)</f>
        <v>0</v>
      </c>
    </row>
    <row r="55" spans="2:31">
      <c r="B55" s="20" t="s">
        <v>29</v>
      </c>
      <c r="C55" s="362"/>
      <c r="D55" s="363"/>
      <c r="E55" s="364"/>
      <c r="F55" s="44"/>
      <c r="G55" s="362"/>
      <c r="H55" s="363"/>
      <c r="I55" s="364"/>
      <c r="J55" s="44"/>
      <c r="K55" s="362"/>
      <c r="L55" s="363"/>
      <c r="M55" s="364"/>
      <c r="N55" s="44"/>
      <c r="P55" s="47"/>
      <c r="Q55" s="21"/>
      <c r="R55" s="7"/>
      <c r="S55" s="7"/>
      <c r="T55" s="22">
        <f t="shared" ref="T55:T61" si="23">IF(F55&gt;0,$P55/1000/F55,0)</f>
        <v>0</v>
      </c>
      <c r="U55" s="22">
        <f t="shared" si="21"/>
        <v>0</v>
      </c>
      <c r="V55" s="22">
        <f t="shared" si="22"/>
        <v>0</v>
      </c>
      <c r="W55" s="7"/>
      <c r="X55" s="22">
        <f t="shared" ref="X55:X61" si="24">F55</f>
        <v>0</v>
      </c>
      <c r="Y55" s="22">
        <f t="shared" ref="Y55:Y61" si="25">IF(J55&gt;0,J55,$X55)</f>
        <v>0</v>
      </c>
      <c r="Z55" s="22">
        <f t="shared" ref="Z55:Z61" si="26">IF(N55&gt;0,N55,$X55)</f>
        <v>0</v>
      </c>
      <c r="AA55" s="7"/>
      <c r="AB55" s="23">
        <f t="shared" ref="AB55:AD55" si="27">AB54</f>
        <v>1</v>
      </c>
      <c r="AC55" s="23">
        <f t="shared" si="27"/>
        <v>0</v>
      </c>
      <c r="AD55" s="23">
        <f t="shared" si="27"/>
        <v>0</v>
      </c>
      <c r="AE55" s="22">
        <f t="shared" ref="AE55:AE61" si="28">IF(X55&lt;&gt;0,P55/1000/SUMPRODUCT(AB55:AD55,X55:Z55),0)</f>
        <v>0</v>
      </c>
    </row>
    <row r="56" spans="2:31">
      <c r="B56" s="20" t="s">
        <v>30</v>
      </c>
      <c r="C56" s="362"/>
      <c r="D56" s="363"/>
      <c r="E56" s="364"/>
      <c r="F56" s="44"/>
      <c r="G56" s="362"/>
      <c r="H56" s="363"/>
      <c r="I56" s="364"/>
      <c r="J56" s="44"/>
      <c r="K56" s="362"/>
      <c r="L56" s="363"/>
      <c r="M56" s="364"/>
      <c r="N56" s="44"/>
      <c r="P56" s="47"/>
      <c r="Q56" s="21"/>
      <c r="R56" s="7"/>
      <c r="S56" s="7"/>
      <c r="T56" s="22">
        <f t="shared" si="23"/>
        <v>0</v>
      </c>
      <c r="U56" s="22">
        <f t="shared" si="21"/>
        <v>0</v>
      </c>
      <c r="V56" s="22">
        <f t="shared" si="22"/>
        <v>0</v>
      </c>
      <c r="W56" s="7"/>
      <c r="X56" s="22">
        <f t="shared" si="24"/>
        <v>0</v>
      </c>
      <c r="Y56" s="22">
        <f t="shared" si="25"/>
        <v>0</v>
      </c>
      <c r="Z56" s="22">
        <f t="shared" si="26"/>
        <v>0</v>
      </c>
      <c r="AA56" s="7"/>
      <c r="AB56" s="23">
        <f t="shared" ref="AB56:AD56" si="29">AB55</f>
        <v>1</v>
      </c>
      <c r="AC56" s="23">
        <f t="shared" si="29"/>
        <v>0</v>
      </c>
      <c r="AD56" s="23">
        <f t="shared" si="29"/>
        <v>0</v>
      </c>
      <c r="AE56" s="22">
        <f t="shared" si="28"/>
        <v>0</v>
      </c>
    </row>
    <row r="57" spans="2:31">
      <c r="B57" s="20" t="s">
        <v>31</v>
      </c>
      <c r="C57" s="362"/>
      <c r="D57" s="363"/>
      <c r="E57" s="364"/>
      <c r="F57" s="44"/>
      <c r="G57" s="362"/>
      <c r="H57" s="363"/>
      <c r="I57" s="364"/>
      <c r="J57" s="44"/>
      <c r="K57" s="362"/>
      <c r="L57" s="363"/>
      <c r="M57" s="364"/>
      <c r="N57" s="44"/>
      <c r="P57" s="47"/>
      <c r="Q57" s="21"/>
      <c r="R57" s="7"/>
      <c r="S57" s="7"/>
      <c r="T57" s="22">
        <f t="shared" si="23"/>
        <v>0</v>
      </c>
      <c r="U57" s="22">
        <f t="shared" si="21"/>
        <v>0</v>
      </c>
      <c r="V57" s="22">
        <f t="shared" si="22"/>
        <v>0</v>
      </c>
      <c r="W57" s="7"/>
      <c r="X57" s="22">
        <f t="shared" si="24"/>
        <v>0</v>
      </c>
      <c r="Y57" s="22">
        <f t="shared" si="25"/>
        <v>0</v>
      </c>
      <c r="Z57" s="22">
        <f t="shared" si="26"/>
        <v>0</v>
      </c>
      <c r="AA57" s="7"/>
      <c r="AB57" s="23">
        <f>AB56</f>
        <v>1</v>
      </c>
      <c r="AC57" s="23">
        <f>AC56</f>
        <v>0</v>
      </c>
      <c r="AD57" s="23">
        <f>AD56</f>
        <v>0</v>
      </c>
      <c r="AE57" s="22">
        <f t="shared" si="28"/>
        <v>0</v>
      </c>
    </row>
    <row r="58" spans="2:31">
      <c r="B58" s="20" t="s">
        <v>32</v>
      </c>
      <c r="C58" s="362"/>
      <c r="D58" s="363"/>
      <c r="E58" s="364"/>
      <c r="F58" s="44"/>
      <c r="G58" s="362"/>
      <c r="H58" s="363"/>
      <c r="I58" s="364"/>
      <c r="J58" s="44"/>
      <c r="K58" s="362"/>
      <c r="L58" s="363"/>
      <c r="M58" s="364"/>
      <c r="N58" s="44"/>
      <c r="P58" s="47"/>
      <c r="Q58" s="21"/>
      <c r="R58" s="7"/>
      <c r="S58" s="7"/>
      <c r="T58" s="22">
        <f t="shared" si="23"/>
        <v>0</v>
      </c>
      <c r="U58" s="22">
        <f t="shared" si="21"/>
        <v>0</v>
      </c>
      <c r="V58" s="22">
        <f t="shared" si="22"/>
        <v>0</v>
      </c>
      <c r="W58" s="7"/>
      <c r="X58" s="22">
        <f t="shared" si="24"/>
        <v>0</v>
      </c>
      <c r="Y58" s="22">
        <f t="shared" si="25"/>
        <v>0</v>
      </c>
      <c r="Z58" s="22">
        <f t="shared" si="26"/>
        <v>0</v>
      </c>
      <c r="AA58" s="7"/>
      <c r="AB58" s="23">
        <f t="shared" ref="AB58:AD58" si="30">AB57</f>
        <v>1</v>
      </c>
      <c r="AC58" s="23">
        <f t="shared" si="30"/>
        <v>0</v>
      </c>
      <c r="AD58" s="23">
        <f t="shared" si="30"/>
        <v>0</v>
      </c>
      <c r="AE58" s="22">
        <f t="shared" si="28"/>
        <v>0</v>
      </c>
    </row>
    <row r="59" spans="2:31">
      <c r="B59" s="20" t="s">
        <v>51</v>
      </c>
      <c r="C59" s="362"/>
      <c r="D59" s="363"/>
      <c r="E59" s="364"/>
      <c r="F59" s="44"/>
      <c r="G59" s="362"/>
      <c r="H59" s="363"/>
      <c r="I59" s="364"/>
      <c r="J59" s="44"/>
      <c r="K59" s="362"/>
      <c r="L59" s="363"/>
      <c r="M59" s="364"/>
      <c r="N59" s="44"/>
      <c r="P59" s="47"/>
      <c r="Q59" s="21"/>
      <c r="R59" s="7"/>
      <c r="S59" s="7"/>
      <c r="T59" s="22">
        <f t="shared" si="23"/>
        <v>0</v>
      </c>
      <c r="U59" s="22">
        <f t="shared" si="21"/>
        <v>0</v>
      </c>
      <c r="V59" s="22">
        <f t="shared" si="22"/>
        <v>0</v>
      </c>
      <c r="W59" s="7"/>
      <c r="X59" s="22">
        <f t="shared" si="24"/>
        <v>0</v>
      </c>
      <c r="Y59" s="22">
        <f t="shared" si="25"/>
        <v>0</v>
      </c>
      <c r="Z59" s="22">
        <f t="shared" si="26"/>
        <v>0</v>
      </c>
      <c r="AA59" s="7"/>
      <c r="AB59" s="23">
        <f t="shared" ref="AB59:AD59" si="31">AB58</f>
        <v>1</v>
      </c>
      <c r="AC59" s="23">
        <f t="shared" si="31"/>
        <v>0</v>
      </c>
      <c r="AD59" s="23">
        <f t="shared" si="31"/>
        <v>0</v>
      </c>
      <c r="AE59" s="22">
        <f t="shared" si="28"/>
        <v>0</v>
      </c>
    </row>
    <row r="60" spans="2:31">
      <c r="B60" s="20" t="s">
        <v>52</v>
      </c>
      <c r="C60" s="362"/>
      <c r="D60" s="363"/>
      <c r="E60" s="364"/>
      <c r="F60" s="44"/>
      <c r="G60" s="362"/>
      <c r="H60" s="363"/>
      <c r="I60" s="364"/>
      <c r="J60" s="44"/>
      <c r="K60" s="362"/>
      <c r="L60" s="363"/>
      <c r="M60" s="364"/>
      <c r="N60" s="44"/>
      <c r="P60" s="47"/>
      <c r="Q60" s="21"/>
      <c r="R60" s="7"/>
      <c r="S60" s="7"/>
      <c r="T60" s="22">
        <f t="shared" si="23"/>
        <v>0</v>
      </c>
      <c r="U60" s="22">
        <f t="shared" si="21"/>
        <v>0</v>
      </c>
      <c r="V60" s="22">
        <f t="shared" si="22"/>
        <v>0</v>
      </c>
      <c r="W60" s="7"/>
      <c r="X60" s="22">
        <f t="shared" si="24"/>
        <v>0</v>
      </c>
      <c r="Y60" s="22">
        <f t="shared" si="25"/>
        <v>0</v>
      </c>
      <c r="Z60" s="22">
        <f t="shared" si="26"/>
        <v>0</v>
      </c>
      <c r="AA60" s="7"/>
      <c r="AB60" s="23">
        <f t="shared" ref="AB60:AD60" si="32">AB59</f>
        <v>1</v>
      </c>
      <c r="AC60" s="23">
        <f t="shared" si="32"/>
        <v>0</v>
      </c>
      <c r="AD60" s="23">
        <f t="shared" si="32"/>
        <v>0</v>
      </c>
      <c r="AE60" s="22">
        <f t="shared" si="28"/>
        <v>0</v>
      </c>
    </row>
    <row r="61" spans="2:31">
      <c r="B61" s="20" t="s">
        <v>53</v>
      </c>
      <c r="C61" s="362"/>
      <c r="D61" s="363"/>
      <c r="E61" s="364"/>
      <c r="F61" s="44"/>
      <c r="G61" s="362"/>
      <c r="H61" s="363"/>
      <c r="I61" s="364"/>
      <c r="J61" s="44"/>
      <c r="K61" s="362"/>
      <c r="L61" s="363"/>
      <c r="M61" s="364"/>
      <c r="N61" s="44"/>
      <c r="P61" s="47"/>
      <c r="Q61" s="21"/>
      <c r="R61" s="7"/>
      <c r="S61" s="7"/>
      <c r="T61" s="22">
        <f t="shared" si="23"/>
        <v>0</v>
      </c>
      <c r="U61" s="22">
        <f t="shared" si="21"/>
        <v>0</v>
      </c>
      <c r="V61" s="22">
        <f t="shared" si="22"/>
        <v>0</v>
      </c>
      <c r="W61" s="7"/>
      <c r="X61" s="22">
        <f t="shared" si="24"/>
        <v>0</v>
      </c>
      <c r="Y61" s="22">
        <f t="shared" si="25"/>
        <v>0</v>
      </c>
      <c r="Z61" s="22">
        <f t="shared" si="26"/>
        <v>0</v>
      </c>
      <c r="AA61" s="7"/>
      <c r="AB61" s="23">
        <f t="shared" ref="AB61:AD61" si="33">AB60</f>
        <v>1</v>
      </c>
      <c r="AC61" s="23">
        <f t="shared" si="33"/>
        <v>0</v>
      </c>
      <c r="AD61" s="23">
        <f t="shared" si="33"/>
        <v>0</v>
      </c>
      <c r="AE61" s="22">
        <f t="shared" si="28"/>
        <v>0</v>
      </c>
    </row>
    <row r="62" spans="2:31">
      <c r="B62" s="9"/>
      <c r="C62" s="24"/>
      <c r="D62" s="7"/>
      <c r="E62" s="7"/>
      <c r="F62" s="25" t="s">
        <v>54</v>
      </c>
      <c r="J62" s="25" t="s">
        <v>55</v>
      </c>
      <c r="M62" s="7"/>
      <c r="N62" s="25" t="s">
        <v>56</v>
      </c>
      <c r="P62" s="19" t="s">
        <v>4</v>
      </c>
      <c r="Q62" s="21"/>
      <c r="R62" s="7"/>
      <c r="S62" s="26" t="s">
        <v>57</v>
      </c>
      <c r="T62" s="22">
        <f>IF(ISNUMBER($F54),1/($H50+SUM(T54:T61)+$H51),0)</f>
        <v>0</v>
      </c>
      <c r="U62" s="22">
        <f>IF(ISNUMBER($F54),1/($H50+SUM(U54:U61)+$H51),0)</f>
        <v>0</v>
      </c>
      <c r="V62" s="22">
        <f>IF(ISNUMBER($F54),1/($H50+SUM(V54:V61)+$H51),0)</f>
        <v>0</v>
      </c>
      <c r="W62" s="7"/>
      <c r="X62" s="7"/>
      <c r="Y62" s="7"/>
      <c r="Z62" s="7"/>
      <c r="AA62" s="7"/>
      <c r="AB62" s="7"/>
      <c r="AC62" s="7"/>
      <c r="AD62" s="7"/>
      <c r="AE62" s="22"/>
    </row>
    <row r="63" spans="2:31" ht="18.75">
      <c r="B63" s="9"/>
      <c r="C63" s="24"/>
      <c r="D63" s="24"/>
      <c r="E63" s="24"/>
      <c r="F63" s="27">
        <f>MAX(0,1-J63-N63)</f>
        <v>1</v>
      </c>
      <c r="G63" s="24"/>
      <c r="H63" s="24"/>
      <c r="I63" s="24"/>
      <c r="J63" s="50"/>
      <c r="K63" s="14"/>
      <c r="L63" s="24"/>
      <c r="M63" s="24"/>
      <c r="N63" s="50"/>
      <c r="O63" s="14"/>
      <c r="P63" s="38" t="str">
        <f>IF(ISNUMBER(P54),SUM(P54:P62)/10,"")</f>
        <v/>
      </c>
      <c r="Q63" s="28" t="s">
        <v>58</v>
      </c>
      <c r="R63" s="7"/>
      <c r="S63" s="26" t="s">
        <v>59</v>
      </c>
      <c r="T63" s="49">
        <f>1-SUM(U63:V63)</f>
        <v>1</v>
      </c>
      <c r="U63" s="49">
        <f>J63</f>
        <v>0</v>
      </c>
      <c r="V63" s="49">
        <f>N63</f>
        <v>0</v>
      </c>
      <c r="W63" s="26"/>
      <c r="X63" s="7"/>
      <c r="Y63" s="7"/>
      <c r="Z63" s="7"/>
      <c r="AA63" s="7"/>
      <c r="AB63" s="7"/>
      <c r="AC63" s="7"/>
      <c r="AD63" s="7"/>
      <c r="AE63" s="22"/>
    </row>
    <row r="64" spans="2:31">
      <c r="B64" s="9"/>
      <c r="C64" s="39" t="str">
        <f>IF(J63+N63&gt;1,"Součet dílčích ploch je vyšší než 100 %!","")</f>
        <v/>
      </c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14"/>
      <c r="P64" s="7"/>
      <c r="Q64" s="21"/>
      <c r="R64" s="7"/>
      <c r="S64" s="23"/>
      <c r="T64" s="22"/>
      <c r="U64" s="22"/>
      <c r="V64" s="22"/>
      <c r="W64" s="7"/>
      <c r="X64" s="7"/>
      <c r="Y64" s="7"/>
      <c r="Z64" s="7"/>
      <c r="AA64" s="7"/>
      <c r="AB64" s="7"/>
      <c r="AC64" s="7"/>
      <c r="AD64" s="7"/>
      <c r="AE64" s="22"/>
    </row>
    <row r="65" spans="2:31" ht="18.75">
      <c r="B65" s="9"/>
      <c r="D65" s="7"/>
      <c r="E65" s="18" t="s">
        <v>60</v>
      </c>
      <c r="F65" s="45">
        <v>1.2E-2</v>
      </c>
      <c r="G65" s="24" t="s">
        <v>61</v>
      </c>
      <c r="H65" s="7"/>
      <c r="I65" s="7"/>
      <c r="J65" s="7"/>
      <c r="K65" s="29" t="s">
        <v>62</v>
      </c>
      <c r="L65" s="40" t="str">
        <f>IF(ISNUMBER(F54),IF(T66&lt;0.1,1/T65,1/(AE65*1.1))+F65,"")</f>
        <v/>
      </c>
      <c r="M65" s="41"/>
      <c r="N65" s="24" t="s">
        <v>61</v>
      </c>
      <c r="O65" s="7"/>
      <c r="P65" s="7"/>
      <c r="Q65" s="21"/>
      <c r="R65" s="7"/>
      <c r="S65" s="23" t="s">
        <v>63</v>
      </c>
      <c r="T65" s="22">
        <f>IF(ISNUMBER(F54),AVERAGE(V65,AE65),0)</f>
        <v>0</v>
      </c>
      <c r="U65" s="23" t="s">
        <v>64</v>
      </c>
      <c r="V65" s="22">
        <f>IF(ISNUMBER(F54),1/SUMPRODUCT(T63:V63,T62:V62),0)</f>
        <v>0</v>
      </c>
      <c r="W65" s="7"/>
      <c r="X65" s="7"/>
      <c r="Y65" s="7"/>
      <c r="Z65" s="7"/>
      <c r="AA65" s="30"/>
      <c r="AB65" s="30"/>
      <c r="AC65" s="7"/>
      <c r="AD65" s="23" t="s">
        <v>65</v>
      </c>
      <c r="AE65" s="22">
        <f>$H50+SUM(AE54:AE61)+$H51</f>
        <v>0</v>
      </c>
    </row>
    <row r="66" spans="2:31">
      <c r="B66" s="31"/>
      <c r="C66" s="42" t="str">
        <f>IF(T66&lt;=0.1,"","Chyba výpočtu hodnoty U asi převyšuje 10 %. Spočítat tepelné mosty?")</f>
        <v/>
      </c>
      <c r="D66" s="32"/>
      <c r="E66" s="32"/>
      <c r="F66" s="33"/>
      <c r="G66" s="32"/>
      <c r="H66" s="32"/>
      <c r="I66" s="32"/>
      <c r="J66" s="32"/>
      <c r="K66" s="32"/>
      <c r="L66" s="32"/>
      <c r="M66" s="32"/>
      <c r="N66" s="32"/>
      <c r="O66" s="32"/>
      <c r="P66" s="34"/>
      <c r="Q66" s="35"/>
      <c r="R66" s="7"/>
      <c r="S66" s="23" t="s">
        <v>66</v>
      </c>
      <c r="T66" s="36">
        <f>IF(ISNUMBER(F54),(V65-AE65)/(2*T65),0)</f>
        <v>0</v>
      </c>
      <c r="U66" s="37"/>
      <c r="V66" s="7"/>
      <c r="W66" s="23"/>
      <c r="X66" s="7"/>
      <c r="Y66" s="7"/>
      <c r="Z66" s="7"/>
      <c r="AA66" s="7"/>
      <c r="AB66" s="7"/>
      <c r="AC66" s="7"/>
      <c r="AD66" s="7"/>
    </row>
    <row r="67" spans="2:31"/>
    <row r="68" spans="2:31">
      <c r="B68" s="2"/>
      <c r="C68" s="3" t="s">
        <v>35</v>
      </c>
      <c r="D68" s="4" t="s">
        <v>36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6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 spans="2:31" ht="15.75">
      <c r="B69" s="9"/>
      <c r="C69" s="48"/>
      <c r="D69" s="46"/>
      <c r="E69" s="43"/>
      <c r="F69" s="43"/>
      <c r="G69" s="43"/>
      <c r="H69" s="43"/>
      <c r="I69" s="43"/>
      <c r="J69" s="43"/>
      <c r="K69" s="43"/>
      <c r="L69" s="43"/>
      <c r="M69" s="43"/>
      <c r="N69" s="151" t="str">
        <f>L86</f>
        <v/>
      </c>
      <c r="O69" s="10"/>
      <c r="P69" s="10"/>
      <c r="Q69" s="11"/>
      <c r="R69" s="7"/>
      <c r="S69" s="7"/>
      <c r="T69" s="12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spans="2:31">
      <c r="B70" s="9"/>
      <c r="Q70" s="11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spans="2:31">
      <c r="B71" s="9"/>
      <c r="D71" s="7"/>
      <c r="E71" s="7"/>
      <c r="G71" s="13" t="s">
        <v>37</v>
      </c>
      <c r="H71" s="45"/>
      <c r="Q71" s="11"/>
      <c r="R71" s="7"/>
      <c r="S71" s="7"/>
      <c r="T71" s="7" t="s">
        <v>38</v>
      </c>
      <c r="U71" s="7"/>
      <c r="V71" s="7"/>
      <c r="W71" s="7"/>
      <c r="X71" s="7" t="s">
        <v>39</v>
      </c>
      <c r="Y71" s="7"/>
      <c r="Z71" s="7"/>
      <c r="AA71" s="7"/>
      <c r="AB71" s="7"/>
      <c r="AC71" s="7"/>
      <c r="AD71" s="7"/>
    </row>
    <row r="72" spans="2:31">
      <c r="B72" s="9"/>
      <c r="D72" s="7"/>
      <c r="E72" s="7"/>
      <c r="G72" s="13" t="s">
        <v>40</v>
      </c>
      <c r="H72" s="45"/>
      <c r="Q72" s="11"/>
      <c r="R72" s="7"/>
      <c r="U72" s="8" t="s">
        <v>41</v>
      </c>
      <c r="Y72" s="8" t="s">
        <v>42</v>
      </c>
    </row>
    <row r="73" spans="2:31" ht="15.75">
      <c r="B73" s="9"/>
      <c r="D73" s="7"/>
      <c r="E73" s="7"/>
      <c r="I73" s="13"/>
      <c r="J73" s="13"/>
      <c r="P73" s="14"/>
      <c r="Q73" s="11"/>
      <c r="R73" s="7"/>
      <c r="S73" s="7"/>
      <c r="T73" s="15"/>
      <c r="U73" s="12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 spans="2:31">
      <c r="B74" s="9"/>
      <c r="C74" s="16" t="s">
        <v>43</v>
      </c>
      <c r="D74" s="7"/>
      <c r="E74" s="7"/>
      <c r="F74" s="17" t="s">
        <v>44</v>
      </c>
      <c r="G74" s="16" t="s">
        <v>45</v>
      </c>
      <c r="H74" s="18"/>
      <c r="I74" s="18"/>
      <c r="J74" s="17" t="s">
        <v>44</v>
      </c>
      <c r="K74" s="16" t="s">
        <v>46</v>
      </c>
      <c r="L74" s="18"/>
      <c r="M74" s="18"/>
      <c r="N74" s="17" t="s">
        <v>44</v>
      </c>
      <c r="P74" s="19" t="s">
        <v>47</v>
      </c>
      <c r="Q74" s="11"/>
      <c r="R74" s="7"/>
      <c r="S74" s="7"/>
      <c r="T74" s="17" t="s">
        <v>48</v>
      </c>
      <c r="U74" s="17" t="s">
        <v>49</v>
      </c>
      <c r="V74" s="17" t="s">
        <v>50</v>
      </c>
      <c r="W74" s="7"/>
      <c r="X74" s="17" t="s">
        <v>48</v>
      </c>
      <c r="Y74" s="17" t="s">
        <v>49</v>
      </c>
      <c r="Z74" s="17" t="s">
        <v>50</v>
      </c>
      <c r="AA74" s="17"/>
      <c r="AB74" s="17" t="s">
        <v>48</v>
      </c>
      <c r="AC74" s="17" t="s">
        <v>49</v>
      </c>
      <c r="AD74" s="17" t="s">
        <v>50</v>
      </c>
      <c r="AE74" s="17" t="s">
        <v>38</v>
      </c>
    </row>
    <row r="75" spans="2:31">
      <c r="B75" s="20" t="s">
        <v>28</v>
      </c>
      <c r="C75" s="362"/>
      <c r="D75" s="363"/>
      <c r="E75" s="364"/>
      <c r="F75" s="44"/>
      <c r="G75" s="362"/>
      <c r="H75" s="363"/>
      <c r="I75" s="364"/>
      <c r="J75" s="44"/>
      <c r="K75" s="362"/>
      <c r="L75" s="363"/>
      <c r="M75" s="364"/>
      <c r="N75" s="44"/>
      <c r="P75" s="47"/>
      <c r="Q75" s="21"/>
      <c r="R75" s="7"/>
      <c r="S75" s="7"/>
      <c r="T75" s="22">
        <f>IF(F75&gt;0,$P75/1000/F75,0)</f>
        <v>0</v>
      </c>
      <c r="U75" s="22">
        <f t="shared" ref="U75:U82" si="34">IF(J75&gt;0,$P75/1000/J75,$T75)</f>
        <v>0</v>
      </c>
      <c r="V75" s="22">
        <f t="shared" ref="V75:V82" si="35">IF(N75&gt;0,$P75/1000/N75,$T75)</f>
        <v>0</v>
      </c>
      <c r="W75" s="7"/>
      <c r="X75" s="22">
        <f>F75</f>
        <v>0</v>
      </c>
      <c r="Y75" s="22">
        <f>IF(J75&gt;0,J75,$X75)</f>
        <v>0</v>
      </c>
      <c r="Z75" s="22">
        <f>IF(N75&gt;0,N75,$X75)</f>
        <v>0</v>
      </c>
      <c r="AA75" s="7"/>
      <c r="AB75" s="23">
        <f>T84</f>
        <v>1</v>
      </c>
      <c r="AC75" s="23">
        <f>U84</f>
        <v>0</v>
      </c>
      <c r="AD75" s="23">
        <f>V84</f>
        <v>0</v>
      </c>
      <c r="AE75" s="22">
        <f>IF(X75&lt;&gt;0,P75/1000/SUMPRODUCT(AB75:AD75,X75:Z75),0)</f>
        <v>0</v>
      </c>
    </row>
    <row r="76" spans="2:31">
      <c r="B76" s="20" t="s">
        <v>29</v>
      </c>
      <c r="C76" s="362"/>
      <c r="D76" s="363"/>
      <c r="E76" s="364"/>
      <c r="F76" s="44"/>
      <c r="G76" s="362"/>
      <c r="H76" s="363"/>
      <c r="I76" s="364"/>
      <c r="J76" s="44"/>
      <c r="K76" s="362"/>
      <c r="L76" s="363"/>
      <c r="M76" s="364"/>
      <c r="N76" s="44"/>
      <c r="P76" s="47"/>
      <c r="Q76" s="21"/>
      <c r="R76" s="7"/>
      <c r="S76" s="7"/>
      <c r="T76" s="22">
        <f t="shared" ref="T76:T82" si="36">IF(F76&gt;0,$P76/1000/F76,0)</f>
        <v>0</v>
      </c>
      <c r="U76" s="22">
        <f t="shared" si="34"/>
        <v>0</v>
      </c>
      <c r="V76" s="22">
        <f t="shared" si="35"/>
        <v>0</v>
      </c>
      <c r="W76" s="7"/>
      <c r="X76" s="22">
        <f t="shared" ref="X76:X82" si="37">F76</f>
        <v>0</v>
      </c>
      <c r="Y76" s="22">
        <f t="shared" ref="Y76:Y82" si="38">IF(J76&gt;0,J76,$X76)</f>
        <v>0</v>
      </c>
      <c r="Z76" s="22">
        <f t="shared" ref="Z76:Z82" si="39">IF(N76&gt;0,N76,$X76)</f>
        <v>0</v>
      </c>
      <c r="AA76" s="7"/>
      <c r="AB76" s="23">
        <f t="shared" ref="AB76:AD76" si="40">AB75</f>
        <v>1</v>
      </c>
      <c r="AC76" s="23">
        <f t="shared" si="40"/>
        <v>0</v>
      </c>
      <c r="AD76" s="23">
        <f t="shared" si="40"/>
        <v>0</v>
      </c>
      <c r="AE76" s="22">
        <f t="shared" ref="AE76:AE82" si="41">IF(X76&lt;&gt;0,P76/1000/SUMPRODUCT(AB76:AD76,X76:Z76),0)</f>
        <v>0</v>
      </c>
    </row>
    <row r="77" spans="2:31">
      <c r="B77" s="20" t="s">
        <v>30</v>
      </c>
      <c r="C77" s="362"/>
      <c r="D77" s="363"/>
      <c r="E77" s="364"/>
      <c r="F77" s="44"/>
      <c r="G77" s="362"/>
      <c r="H77" s="363"/>
      <c r="I77" s="364"/>
      <c r="J77" s="44"/>
      <c r="K77" s="362"/>
      <c r="L77" s="363"/>
      <c r="M77" s="364"/>
      <c r="N77" s="44"/>
      <c r="P77" s="47"/>
      <c r="Q77" s="21"/>
      <c r="R77" s="7"/>
      <c r="S77" s="7"/>
      <c r="T77" s="22">
        <f t="shared" si="36"/>
        <v>0</v>
      </c>
      <c r="U77" s="22">
        <f t="shared" si="34"/>
        <v>0</v>
      </c>
      <c r="V77" s="22">
        <f t="shared" si="35"/>
        <v>0</v>
      </c>
      <c r="W77" s="7"/>
      <c r="X77" s="22">
        <f t="shared" si="37"/>
        <v>0</v>
      </c>
      <c r="Y77" s="22">
        <f t="shared" si="38"/>
        <v>0</v>
      </c>
      <c r="Z77" s="22">
        <f t="shared" si="39"/>
        <v>0</v>
      </c>
      <c r="AA77" s="7"/>
      <c r="AB77" s="23">
        <f t="shared" ref="AB77:AD77" si="42">AB76</f>
        <v>1</v>
      </c>
      <c r="AC77" s="23">
        <f t="shared" si="42"/>
        <v>0</v>
      </c>
      <c r="AD77" s="23">
        <f t="shared" si="42"/>
        <v>0</v>
      </c>
      <c r="AE77" s="22">
        <f t="shared" si="41"/>
        <v>0</v>
      </c>
    </row>
    <row r="78" spans="2:31">
      <c r="B78" s="20" t="s">
        <v>31</v>
      </c>
      <c r="C78" s="362"/>
      <c r="D78" s="363"/>
      <c r="E78" s="364"/>
      <c r="F78" s="44"/>
      <c r="G78" s="362"/>
      <c r="H78" s="363"/>
      <c r="I78" s="364"/>
      <c r="J78" s="44"/>
      <c r="K78" s="362"/>
      <c r="L78" s="363"/>
      <c r="M78" s="364"/>
      <c r="N78" s="44"/>
      <c r="P78" s="47"/>
      <c r="Q78" s="21"/>
      <c r="R78" s="7"/>
      <c r="S78" s="7"/>
      <c r="T78" s="22">
        <f t="shared" si="36"/>
        <v>0</v>
      </c>
      <c r="U78" s="22">
        <f t="shared" si="34"/>
        <v>0</v>
      </c>
      <c r="V78" s="22">
        <f t="shared" si="35"/>
        <v>0</v>
      </c>
      <c r="W78" s="7"/>
      <c r="X78" s="22">
        <f t="shared" si="37"/>
        <v>0</v>
      </c>
      <c r="Y78" s="22">
        <f t="shared" si="38"/>
        <v>0</v>
      </c>
      <c r="Z78" s="22">
        <f t="shared" si="39"/>
        <v>0</v>
      </c>
      <c r="AA78" s="7"/>
      <c r="AB78" s="23">
        <f>AB77</f>
        <v>1</v>
      </c>
      <c r="AC78" s="23">
        <f>AC77</f>
        <v>0</v>
      </c>
      <c r="AD78" s="23">
        <f>AD77</f>
        <v>0</v>
      </c>
      <c r="AE78" s="22">
        <f t="shared" si="41"/>
        <v>0</v>
      </c>
    </row>
    <row r="79" spans="2:31">
      <c r="B79" s="20" t="s">
        <v>32</v>
      </c>
      <c r="C79" s="362"/>
      <c r="D79" s="363"/>
      <c r="E79" s="364"/>
      <c r="F79" s="44"/>
      <c r="G79" s="362"/>
      <c r="H79" s="363"/>
      <c r="I79" s="364"/>
      <c r="J79" s="44"/>
      <c r="K79" s="362"/>
      <c r="L79" s="363"/>
      <c r="M79" s="364"/>
      <c r="N79" s="44"/>
      <c r="P79" s="47"/>
      <c r="Q79" s="21"/>
      <c r="R79" s="7"/>
      <c r="S79" s="7"/>
      <c r="T79" s="22">
        <f t="shared" si="36"/>
        <v>0</v>
      </c>
      <c r="U79" s="22">
        <f t="shared" si="34"/>
        <v>0</v>
      </c>
      <c r="V79" s="22">
        <f t="shared" si="35"/>
        <v>0</v>
      </c>
      <c r="W79" s="7"/>
      <c r="X79" s="22">
        <f t="shared" si="37"/>
        <v>0</v>
      </c>
      <c r="Y79" s="22">
        <f t="shared" si="38"/>
        <v>0</v>
      </c>
      <c r="Z79" s="22">
        <f t="shared" si="39"/>
        <v>0</v>
      </c>
      <c r="AA79" s="7"/>
      <c r="AB79" s="23">
        <f t="shared" ref="AB79:AD79" si="43">AB78</f>
        <v>1</v>
      </c>
      <c r="AC79" s="23">
        <f t="shared" si="43"/>
        <v>0</v>
      </c>
      <c r="AD79" s="23">
        <f t="shared" si="43"/>
        <v>0</v>
      </c>
      <c r="AE79" s="22">
        <f t="shared" si="41"/>
        <v>0</v>
      </c>
    </row>
    <row r="80" spans="2:31">
      <c r="B80" s="20" t="s">
        <v>51</v>
      </c>
      <c r="C80" s="362"/>
      <c r="D80" s="363"/>
      <c r="E80" s="364"/>
      <c r="F80" s="44"/>
      <c r="G80" s="362"/>
      <c r="H80" s="363"/>
      <c r="I80" s="364"/>
      <c r="J80" s="44"/>
      <c r="K80" s="362"/>
      <c r="L80" s="363"/>
      <c r="M80" s="364"/>
      <c r="N80" s="44"/>
      <c r="P80" s="47"/>
      <c r="Q80" s="21"/>
      <c r="R80" s="7"/>
      <c r="S80" s="7"/>
      <c r="T80" s="22">
        <f t="shared" si="36"/>
        <v>0</v>
      </c>
      <c r="U80" s="22">
        <f t="shared" si="34"/>
        <v>0</v>
      </c>
      <c r="V80" s="22">
        <f t="shared" si="35"/>
        <v>0</v>
      </c>
      <c r="W80" s="7"/>
      <c r="X80" s="22">
        <f t="shared" si="37"/>
        <v>0</v>
      </c>
      <c r="Y80" s="22">
        <f t="shared" si="38"/>
        <v>0</v>
      </c>
      <c r="Z80" s="22">
        <f t="shared" si="39"/>
        <v>0</v>
      </c>
      <c r="AA80" s="7"/>
      <c r="AB80" s="23">
        <f t="shared" ref="AB80:AD80" si="44">AB79</f>
        <v>1</v>
      </c>
      <c r="AC80" s="23">
        <f t="shared" si="44"/>
        <v>0</v>
      </c>
      <c r="AD80" s="23">
        <f t="shared" si="44"/>
        <v>0</v>
      </c>
      <c r="AE80" s="22">
        <f t="shared" si="41"/>
        <v>0</v>
      </c>
    </row>
    <row r="81" spans="2:31">
      <c r="B81" s="20" t="s">
        <v>52</v>
      </c>
      <c r="C81" s="362"/>
      <c r="D81" s="363"/>
      <c r="E81" s="364"/>
      <c r="F81" s="44"/>
      <c r="G81" s="362"/>
      <c r="H81" s="363"/>
      <c r="I81" s="364"/>
      <c r="J81" s="44"/>
      <c r="K81" s="362"/>
      <c r="L81" s="363"/>
      <c r="M81" s="364"/>
      <c r="N81" s="44"/>
      <c r="P81" s="47"/>
      <c r="Q81" s="21"/>
      <c r="R81" s="7"/>
      <c r="S81" s="7"/>
      <c r="T81" s="22">
        <f t="shared" si="36"/>
        <v>0</v>
      </c>
      <c r="U81" s="22">
        <f t="shared" si="34"/>
        <v>0</v>
      </c>
      <c r="V81" s="22">
        <f t="shared" si="35"/>
        <v>0</v>
      </c>
      <c r="W81" s="7"/>
      <c r="X81" s="22">
        <f t="shared" si="37"/>
        <v>0</v>
      </c>
      <c r="Y81" s="22">
        <f t="shared" si="38"/>
        <v>0</v>
      </c>
      <c r="Z81" s="22">
        <f t="shared" si="39"/>
        <v>0</v>
      </c>
      <c r="AA81" s="7"/>
      <c r="AB81" s="23">
        <f t="shared" ref="AB81:AD81" si="45">AB80</f>
        <v>1</v>
      </c>
      <c r="AC81" s="23">
        <f t="shared" si="45"/>
        <v>0</v>
      </c>
      <c r="AD81" s="23">
        <f t="shared" si="45"/>
        <v>0</v>
      </c>
      <c r="AE81" s="22">
        <f t="shared" si="41"/>
        <v>0</v>
      </c>
    </row>
    <row r="82" spans="2:31">
      <c r="B82" s="20" t="s">
        <v>53</v>
      </c>
      <c r="C82" s="362"/>
      <c r="D82" s="363"/>
      <c r="E82" s="364"/>
      <c r="F82" s="44"/>
      <c r="G82" s="362"/>
      <c r="H82" s="363"/>
      <c r="I82" s="364"/>
      <c r="J82" s="44"/>
      <c r="K82" s="362"/>
      <c r="L82" s="363"/>
      <c r="M82" s="364"/>
      <c r="N82" s="44"/>
      <c r="P82" s="47"/>
      <c r="Q82" s="21"/>
      <c r="R82" s="7"/>
      <c r="S82" s="7"/>
      <c r="T82" s="22">
        <f t="shared" si="36"/>
        <v>0</v>
      </c>
      <c r="U82" s="22">
        <f t="shared" si="34"/>
        <v>0</v>
      </c>
      <c r="V82" s="22">
        <f t="shared" si="35"/>
        <v>0</v>
      </c>
      <c r="W82" s="7"/>
      <c r="X82" s="22">
        <f t="shared" si="37"/>
        <v>0</v>
      </c>
      <c r="Y82" s="22">
        <f t="shared" si="38"/>
        <v>0</v>
      </c>
      <c r="Z82" s="22">
        <f t="shared" si="39"/>
        <v>0</v>
      </c>
      <c r="AA82" s="7"/>
      <c r="AB82" s="23">
        <f t="shared" ref="AB82:AD82" si="46">AB81</f>
        <v>1</v>
      </c>
      <c r="AC82" s="23">
        <f t="shared" si="46"/>
        <v>0</v>
      </c>
      <c r="AD82" s="23">
        <f t="shared" si="46"/>
        <v>0</v>
      </c>
      <c r="AE82" s="22">
        <f t="shared" si="41"/>
        <v>0</v>
      </c>
    </row>
    <row r="83" spans="2:31">
      <c r="B83" s="9"/>
      <c r="C83" s="24"/>
      <c r="D83" s="7"/>
      <c r="E83" s="7"/>
      <c r="F83" s="25" t="s">
        <v>54</v>
      </c>
      <c r="J83" s="25" t="s">
        <v>55</v>
      </c>
      <c r="M83" s="7"/>
      <c r="N83" s="25" t="s">
        <v>56</v>
      </c>
      <c r="P83" s="19" t="s">
        <v>4</v>
      </c>
      <c r="Q83" s="21"/>
      <c r="R83" s="7"/>
      <c r="S83" s="26" t="s">
        <v>57</v>
      </c>
      <c r="T83" s="22">
        <f>IF(ISNUMBER($F75),1/($H71+SUM(T75:T82)+$H72),0)</f>
        <v>0</v>
      </c>
      <c r="U83" s="22">
        <f>IF(ISNUMBER($F75),1/($H71+SUM(U75:U82)+$H72),0)</f>
        <v>0</v>
      </c>
      <c r="V83" s="22">
        <f>IF(ISNUMBER($F75),1/($H71+SUM(V75:V82)+$H72),0)</f>
        <v>0</v>
      </c>
      <c r="W83" s="7"/>
      <c r="X83" s="7"/>
      <c r="Y83" s="7"/>
      <c r="Z83" s="7"/>
      <c r="AA83" s="7"/>
      <c r="AB83" s="7"/>
      <c r="AC83" s="7"/>
      <c r="AD83" s="7"/>
      <c r="AE83" s="22"/>
    </row>
    <row r="84" spans="2:31" ht="18.75">
      <c r="B84" s="9"/>
      <c r="C84" s="24"/>
      <c r="D84" s="24"/>
      <c r="E84" s="24"/>
      <c r="F84" s="27">
        <f>MAX(0,1-J84-N84)</f>
        <v>1</v>
      </c>
      <c r="G84" s="24"/>
      <c r="H84" s="24"/>
      <c r="I84" s="24"/>
      <c r="J84" s="50"/>
      <c r="K84" s="14"/>
      <c r="L84" s="24"/>
      <c r="M84" s="24"/>
      <c r="N84" s="50"/>
      <c r="O84" s="14"/>
      <c r="P84" s="38" t="str">
        <f>IF(ISNUMBER(P75),SUM(P75:P83)/10,"")</f>
        <v/>
      </c>
      <c r="Q84" s="28" t="s">
        <v>58</v>
      </c>
      <c r="R84" s="7"/>
      <c r="S84" s="26" t="s">
        <v>59</v>
      </c>
      <c r="T84" s="49">
        <f>1-SUM(U84:V84)</f>
        <v>1</v>
      </c>
      <c r="U84" s="49">
        <f>J84</f>
        <v>0</v>
      </c>
      <c r="V84" s="49">
        <f>N84</f>
        <v>0</v>
      </c>
      <c r="W84" s="26"/>
      <c r="X84" s="7"/>
      <c r="Y84" s="7"/>
      <c r="Z84" s="7"/>
      <c r="AA84" s="7"/>
      <c r="AB84" s="7"/>
      <c r="AC84" s="7"/>
      <c r="AD84" s="7"/>
      <c r="AE84" s="22"/>
    </row>
    <row r="85" spans="2:31">
      <c r="B85" s="9"/>
      <c r="C85" s="39" t="str">
        <f>IF(J84+N84&gt;1,"Součet dílčích ploch je vyšší než 100 %!","")</f>
        <v/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14"/>
      <c r="P85" s="7"/>
      <c r="Q85" s="21"/>
      <c r="R85" s="7"/>
      <c r="S85" s="23"/>
      <c r="T85" s="22"/>
      <c r="U85" s="22"/>
      <c r="V85" s="22"/>
      <c r="W85" s="7"/>
      <c r="X85" s="7"/>
      <c r="Y85" s="7"/>
      <c r="Z85" s="7"/>
      <c r="AA85" s="7"/>
      <c r="AB85" s="7"/>
      <c r="AC85" s="7"/>
      <c r="AD85" s="7"/>
      <c r="AE85" s="22"/>
    </row>
    <row r="86" spans="2:31" ht="18.75">
      <c r="B86" s="9"/>
      <c r="D86" s="7"/>
      <c r="E86" s="18" t="s">
        <v>60</v>
      </c>
      <c r="F86" s="45"/>
      <c r="G86" s="24" t="s">
        <v>61</v>
      </c>
      <c r="H86" s="7"/>
      <c r="I86" s="7"/>
      <c r="J86" s="7"/>
      <c r="K86" s="29" t="s">
        <v>62</v>
      </c>
      <c r="L86" s="40" t="str">
        <f>IF(ISNUMBER(F75),IF(T87&lt;0.1,1/T86,1/(AE86*1.1))+F86,"")</f>
        <v/>
      </c>
      <c r="M86" s="41"/>
      <c r="N86" s="24" t="s">
        <v>61</v>
      </c>
      <c r="O86" s="7"/>
      <c r="P86" s="7"/>
      <c r="Q86" s="21"/>
      <c r="R86" s="7"/>
      <c r="S86" s="23" t="s">
        <v>63</v>
      </c>
      <c r="T86" s="22">
        <f>IF(ISNUMBER(F75),AVERAGE(V86,AE86),0)</f>
        <v>0</v>
      </c>
      <c r="U86" s="23" t="s">
        <v>64</v>
      </c>
      <c r="V86" s="22">
        <f>IF(ISNUMBER(F75),1/SUMPRODUCT(T84:V84,T83:V83),0)</f>
        <v>0</v>
      </c>
      <c r="W86" s="7"/>
      <c r="X86" s="7"/>
      <c r="Y86" s="7"/>
      <c r="Z86" s="7"/>
      <c r="AA86" s="30"/>
      <c r="AB86" s="30"/>
      <c r="AC86" s="7"/>
      <c r="AD86" s="23" t="s">
        <v>65</v>
      </c>
      <c r="AE86" s="22">
        <f>$H71+SUM(AE75:AE82)+$H72</f>
        <v>0</v>
      </c>
    </row>
    <row r="87" spans="2:31">
      <c r="B87" s="31"/>
      <c r="C87" s="42" t="str">
        <f>IF(T87&lt;=0.1,"","Chyba výpočtu hodnoty U asi převyšuje 10 %. Spočítat tepelné mosty?")</f>
        <v/>
      </c>
      <c r="D87" s="32"/>
      <c r="E87" s="32"/>
      <c r="F87" s="33"/>
      <c r="G87" s="32"/>
      <c r="H87" s="32"/>
      <c r="I87" s="32"/>
      <c r="J87" s="32"/>
      <c r="K87" s="32"/>
      <c r="L87" s="32"/>
      <c r="M87" s="32"/>
      <c r="N87" s="32"/>
      <c r="O87" s="32"/>
      <c r="P87" s="34"/>
      <c r="Q87" s="35"/>
      <c r="R87" s="7"/>
      <c r="S87" s="23" t="s">
        <v>66</v>
      </c>
      <c r="T87" s="36">
        <f>IF(ISNUMBER(F75),(V86-AE86)/(2*T86),0)</f>
        <v>0</v>
      </c>
      <c r="U87" s="37"/>
      <c r="V87" s="7"/>
      <c r="W87" s="23"/>
      <c r="X87" s="7"/>
      <c r="Y87" s="7"/>
      <c r="Z87" s="7"/>
      <c r="AA87" s="7"/>
      <c r="AB87" s="7"/>
      <c r="AC87" s="7"/>
      <c r="AD87" s="7"/>
    </row>
    <row r="88" spans="2:31"/>
    <row r="89" spans="2:31">
      <c r="B89" s="2"/>
      <c r="C89" s="3" t="s">
        <v>35</v>
      </c>
      <c r="D89" s="4" t="s">
        <v>36</v>
      </c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6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2:31" ht="15.75">
      <c r="B90" s="9"/>
      <c r="C90" s="48"/>
      <c r="D90" s="46"/>
      <c r="E90" s="43"/>
      <c r="F90" s="43"/>
      <c r="G90" s="43"/>
      <c r="H90" s="43"/>
      <c r="I90" s="43"/>
      <c r="J90" s="43"/>
      <c r="K90" s="43"/>
      <c r="L90" s="43"/>
      <c r="M90" s="43"/>
      <c r="N90" s="151" t="str">
        <f>L107</f>
        <v/>
      </c>
      <c r="O90" s="10"/>
      <c r="P90" s="10"/>
      <c r="Q90" s="11"/>
      <c r="R90" s="7"/>
      <c r="S90" s="7"/>
      <c r="T90" s="12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2:31">
      <c r="B91" s="9"/>
      <c r="Q91" s="11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2:31">
      <c r="B92" s="9"/>
      <c r="D92" s="7"/>
      <c r="E92" s="7"/>
      <c r="G92" s="13" t="s">
        <v>37</v>
      </c>
      <c r="H92" s="45"/>
      <c r="Q92" s="11"/>
      <c r="R92" s="7"/>
      <c r="S92" s="7"/>
      <c r="T92" s="7" t="s">
        <v>38</v>
      </c>
      <c r="U92" s="7"/>
      <c r="V92" s="7"/>
      <c r="W92" s="7"/>
      <c r="X92" s="7" t="s">
        <v>39</v>
      </c>
      <c r="Y92" s="7"/>
      <c r="Z92" s="7"/>
      <c r="AA92" s="7"/>
      <c r="AB92" s="7"/>
      <c r="AC92" s="7"/>
      <c r="AD92" s="7"/>
    </row>
    <row r="93" spans="2:31">
      <c r="B93" s="9"/>
      <c r="D93" s="7"/>
      <c r="E93" s="7"/>
      <c r="G93" s="13" t="s">
        <v>40</v>
      </c>
      <c r="H93" s="45"/>
      <c r="Q93" s="11"/>
      <c r="R93" s="7"/>
      <c r="U93" s="8" t="s">
        <v>41</v>
      </c>
      <c r="Y93" s="8" t="s">
        <v>42</v>
      </c>
    </row>
    <row r="94" spans="2:31" ht="15.75">
      <c r="B94" s="9"/>
      <c r="D94" s="7"/>
      <c r="E94" s="7"/>
      <c r="I94" s="13"/>
      <c r="J94" s="13"/>
      <c r="P94" s="14"/>
      <c r="Q94" s="11"/>
      <c r="R94" s="7"/>
      <c r="S94" s="7"/>
      <c r="T94" s="15"/>
      <c r="U94" s="12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2:31">
      <c r="B95" s="9"/>
      <c r="C95" s="16" t="s">
        <v>43</v>
      </c>
      <c r="D95" s="7"/>
      <c r="E95" s="7"/>
      <c r="F95" s="17" t="s">
        <v>44</v>
      </c>
      <c r="G95" s="16" t="s">
        <v>45</v>
      </c>
      <c r="H95" s="18"/>
      <c r="I95" s="18"/>
      <c r="J95" s="17" t="s">
        <v>44</v>
      </c>
      <c r="K95" s="16" t="s">
        <v>46</v>
      </c>
      <c r="L95" s="18"/>
      <c r="M95" s="18"/>
      <c r="N95" s="17" t="s">
        <v>44</v>
      </c>
      <c r="P95" s="19" t="s">
        <v>47</v>
      </c>
      <c r="Q95" s="11"/>
      <c r="R95" s="7"/>
      <c r="S95" s="7"/>
      <c r="T95" s="17" t="s">
        <v>48</v>
      </c>
      <c r="U95" s="17" t="s">
        <v>49</v>
      </c>
      <c r="V95" s="17" t="s">
        <v>50</v>
      </c>
      <c r="W95" s="7"/>
      <c r="X95" s="17" t="s">
        <v>48</v>
      </c>
      <c r="Y95" s="17" t="s">
        <v>49</v>
      </c>
      <c r="Z95" s="17" t="s">
        <v>50</v>
      </c>
      <c r="AA95" s="17"/>
      <c r="AB95" s="17" t="s">
        <v>48</v>
      </c>
      <c r="AC95" s="17" t="s">
        <v>49</v>
      </c>
      <c r="AD95" s="17" t="s">
        <v>50</v>
      </c>
      <c r="AE95" s="17" t="s">
        <v>38</v>
      </c>
    </row>
    <row r="96" spans="2:31">
      <c r="B96" s="20" t="s">
        <v>28</v>
      </c>
      <c r="C96" s="362"/>
      <c r="D96" s="363"/>
      <c r="E96" s="364"/>
      <c r="F96" s="44"/>
      <c r="G96" s="362"/>
      <c r="H96" s="363"/>
      <c r="I96" s="364"/>
      <c r="J96" s="44"/>
      <c r="K96" s="362"/>
      <c r="L96" s="363"/>
      <c r="M96" s="364"/>
      <c r="N96" s="44"/>
      <c r="P96" s="47"/>
      <c r="Q96" s="21"/>
      <c r="R96" s="7"/>
      <c r="S96" s="7"/>
      <c r="T96" s="22">
        <f>IF(F96&gt;0,$P96/1000/F96,0)</f>
        <v>0</v>
      </c>
      <c r="U96" s="22">
        <f t="shared" ref="U96:U103" si="47">IF(J96&gt;0,$P96/1000/J96,$T96)</f>
        <v>0</v>
      </c>
      <c r="V96" s="22">
        <f t="shared" ref="V96:V103" si="48">IF(N96&gt;0,$P96/1000/N96,$T96)</f>
        <v>0</v>
      </c>
      <c r="W96" s="7"/>
      <c r="X96" s="22">
        <f>F96</f>
        <v>0</v>
      </c>
      <c r="Y96" s="22">
        <f>IF(J96&gt;0,J96,$X96)</f>
        <v>0</v>
      </c>
      <c r="Z96" s="22">
        <f>IF(N96&gt;0,N96,$X96)</f>
        <v>0</v>
      </c>
      <c r="AA96" s="7"/>
      <c r="AB96" s="23">
        <f>T105</f>
        <v>1</v>
      </c>
      <c r="AC96" s="23">
        <f>U105</f>
        <v>0</v>
      </c>
      <c r="AD96" s="23">
        <f>V105</f>
        <v>0</v>
      </c>
      <c r="AE96" s="22">
        <f>IF(X96&lt;&gt;0,P96/1000/SUMPRODUCT(AB96:AD96,X96:Z96),0)</f>
        <v>0</v>
      </c>
    </row>
    <row r="97" spans="2:31">
      <c r="B97" s="20" t="s">
        <v>29</v>
      </c>
      <c r="C97" s="362"/>
      <c r="D97" s="363"/>
      <c r="E97" s="364"/>
      <c r="F97" s="44"/>
      <c r="G97" s="362"/>
      <c r="H97" s="363"/>
      <c r="I97" s="364"/>
      <c r="J97" s="44"/>
      <c r="K97" s="362"/>
      <c r="L97" s="363"/>
      <c r="M97" s="364"/>
      <c r="N97" s="44"/>
      <c r="P97" s="47"/>
      <c r="Q97" s="21"/>
      <c r="R97" s="7"/>
      <c r="S97" s="7"/>
      <c r="T97" s="22">
        <f t="shared" ref="T97:T103" si="49">IF(F97&gt;0,$P97/1000/F97,0)</f>
        <v>0</v>
      </c>
      <c r="U97" s="22">
        <f t="shared" si="47"/>
        <v>0</v>
      </c>
      <c r="V97" s="22">
        <f t="shared" si="48"/>
        <v>0</v>
      </c>
      <c r="W97" s="7"/>
      <c r="X97" s="22">
        <f t="shared" ref="X97:X103" si="50">F97</f>
        <v>0</v>
      </c>
      <c r="Y97" s="22">
        <f t="shared" ref="Y97:Y103" si="51">IF(J97&gt;0,J97,$X97)</f>
        <v>0</v>
      </c>
      <c r="Z97" s="22">
        <f t="shared" ref="Z97:Z103" si="52">IF(N97&gt;0,N97,$X97)</f>
        <v>0</v>
      </c>
      <c r="AA97" s="7"/>
      <c r="AB97" s="23">
        <f t="shared" ref="AB97:AD97" si="53">AB96</f>
        <v>1</v>
      </c>
      <c r="AC97" s="23">
        <f t="shared" si="53"/>
        <v>0</v>
      </c>
      <c r="AD97" s="23">
        <f t="shared" si="53"/>
        <v>0</v>
      </c>
      <c r="AE97" s="22">
        <f t="shared" ref="AE97:AE103" si="54">IF(X97&lt;&gt;0,P97/1000/SUMPRODUCT(AB97:AD97,X97:Z97),0)</f>
        <v>0</v>
      </c>
    </row>
    <row r="98" spans="2:31">
      <c r="B98" s="20" t="s">
        <v>30</v>
      </c>
      <c r="C98" s="362"/>
      <c r="D98" s="363"/>
      <c r="E98" s="364"/>
      <c r="F98" s="44"/>
      <c r="G98" s="362"/>
      <c r="H98" s="363"/>
      <c r="I98" s="364"/>
      <c r="J98" s="44"/>
      <c r="K98" s="362"/>
      <c r="L98" s="363"/>
      <c r="M98" s="364"/>
      <c r="N98" s="44"/>
      <c r="P98" s="47"/>
      <c r="Q98" s="21"/>
      <c r="R98" s="7"/>
      <c r="S98" s="7"/>
      <c r="T98" s="22">
        <f t="shared" si="49"/>
        <v>0</v>
      </c>
      <c r="U98" s="22">
        <f t="shared" si="47"/>
        <v>0</v>
      </c>
      <c r="V98" s="22">
        <f t="shared" si="48"/>
        <v>0</v>
      </c>
      <c r="W98" s="7"/>
      <c r="X98" s="22">
        <f t="shared" si="50"/>
        <v>0</v>
      </c>
      <c r="Y98" s="22">
        <f t="shared" si="51"/>
        <v>0</v>
      </c>
      <c r="Z98" s="22">
        <f t="shared" si="52"/>
        <v>0</v>
      </c>
      <c r="AA98" s="7"/>
      <c r="AB98" s="23">
        <f t="shared" ref="AB98:AD98" si="55">AB97</f>
        <v>1</v>
      </c>
      <c r="AC98" s="23">
        <f t="shared" si="55"/>
        <v>0</v>
      </c>
      <c r="AD98" s="23">
        <f t="shared" si="55"/>
        <v>0</v>
      </c>
      <c r="AE98" s="22">
        <f t="shared" si="54"/>
        <v>0</v>
      </c>
    </row>
    <row r="99" spans="2:31">
      <c r="B99" s="20" t="s">
        <v>31</v>
      </c>
      <c r="C99" s="362"/>
      <c r="D99" s="363"/>
      <c r="E99" s="364"/>
      <c r="F99" s="44"/>
      <c r="G99" s="362"/>
      <c r="H99" s="363"/>
      <c r="I99" s="364"/>
      <c r="J99" s="44"/>
      <c r="K99" s="362"/>
      <c r="L99" s="363"/>
      <c r="M99" s="364"/>
      <c r="N99" s="44"/>
      <c r="P99" s="47"/>
      <c r="Q99" s="21"/>
      <c r="R99" s="7"/>
      <c r="S99" s="7"/>
      <c r="T99" s="22">
        <f t="shared" si="49"/>
        <v>0</v>
      </c>
      <c r="U99" s="22">
        <f t="shared" si="47"/>
        <v>0</v>
      </c>
      <c r="V99" s="22">
        <f t="shared" si="48"/>
        <v>0</v>
      </c>
      <c r="W99" s="7"/>
      <c r="X99" s="22">
        <f t="shared" si="50"/>
        <v>0</v>
      </c>
      <c r="Y99" s="22">
        <f t="shared" si="51"/>
        <v>0</v>
      </c>
      <c r="Z99" s="22">
        <f t="shared" si="52"/>
        <v>0</v>
      </c>
      <c r="AA99" s="7"/>
      <c r="AB99" s="23">
        <f>AB98</f>
        <v>1</v>
      </c>
      <c r="AC99" s="23">
        <f>AC98</f>
        <v>0</v>
      </c>
      <c r="AD99" s="23">
        <f>AD98</f>
        <v>0</v>
      </c>
      <c r="AE99" s="22">
        <f t="shared" si="54"/>
        <v>0</v>
      </c>
    </row>
    <row r="100" spans="2:31">
      <c r="B100" s="20" t="s">
        <v>32</v>
      </c>
      <c r="C100" s="362"/>
      <c r="D100" s="363"/>
      <c r="E100" s="364"/>
      <c r="F100" s="44"/>
      <c r="G100" s="362"/>
      <c r="H100" s="363"/>
      <c r="I100" s="364"/>
      <c r="J100" s="44"/>
      <c r="K100" s="362"/>
      <c r="L100" s="363"/>
      <c r="M100" s="364"/>
      <c r="N100" s="44"/>
      <c r="P100" s="47"/>
      <c r="Q100" s="21"/>
      <c r="R100" s="7"/>
      <c r="S100" s="7"/>
      <c r="T100" s="22">
        <f t="shared" si="49"/>
        <v>0</v>
      </c>
      <c r="U100" s="22">
        <f t="shared" si="47"/>
        <v>0</v>
      </c>
      <c r="V100" s="22">
        <f t="shared" si="48"/>
        <v>0</v>
      </c>
      <c r="W100" s="7"/>
      <c r="X100" s="22">
        <f t="shared" si="50"/>
        <v>0</v>
      </c>
      <c r="Y100" s="22">
        <f t="shared" si="51"/>
        <v>0</v>
      </c>
      <c r="Z100" s="22">
        <f t="shared" si="52"/>
        <v>0</v>
      </c>
      <c r="AA100" s="7"/>
      <c r="AB100" s="23">
        <f t="shared" ref="AB100:AD100" si="56">AB99</f>
        <v>1</v>
      </c>
      <c r="AC100" s="23">
        <f t="shared" si="56"/>
        <v>0</v>
      </c>
      <c r="AD100" s="23">
        <f t="shared" si="56"/>
        <v>0</v>
      </c>
      <c r="AE100" s="22">
        <f t="shared" si="54"/>
        <v>0</v>
      </c>
    </row>
    <row r="101" spans="2:31">
      <c r="B101" s="20" t="s">
        <v>51</v>
      </c>
      <c r="C101" s="362"/>
      <c r="D101" s="363"/>
      <c r="E101" s="364"/>
      <c r="F101" s="44"/>
      <c r="G101" s="362"/>
      <c r="H101" s="363"/>
      <c r="I101" s="364"/>
      <c r="J101" s="44"/>
      <c r="K101" s="362"/>
      <c r="L101" s="363"/>
      <c r="M101" s="364"/>
      <c r="N101" s="44"/>
      <c r="P101" s="47"/>
      <c r="Q101" s="21"/>
      <c r="R101" s="7"/>
      <c r="S101" s="7"/>
      <c r="T101" s="22">
        <f t="shared" si="49"/>
        <v>0</v>
      </c>
      <c r="U101" s="22">
        <f t="shared" si="47"/>
        <v>0</v>
      </c>
      <c r="V101" s="22">
        <f t="shared" si="48"/>
        <v>0</v>
      </c>
      <c r="W101" s="7"/>
      <c r="X101" s="22">
        <f t="shared" si="50"/>
        <v>0</v>
      </c>
      <c r="Y101" s="22">
        <f t="shared" si="51"/>
        <v>0</v>
      </c>
      <c r="Z101" s="22">
        <f t="shared" si="52"/>
        <v>0</v>
      </c>
      <c r="AA101" s="7"/>
      <c r="AB101" s="23">
        <f t="shared" ref="AB101:AD101" si="57">AB100</f>
        <v>1</v>
      </c>
      <c r="AC101" s="23">
        <f t="shared" si="57"/>
        <v>0</v>
      </c>
      <c r="AD101" s="23">
        <f t="shared" si="57"/>
        <v>0</v>
      </c>
      <c r="AE101" s="22">
        <f t="shared" si="54"/>
        <v>0</v>
      </c>
    </row>
    <row r="102" spans="2:31">
      <c r="B102" s="20" t="s">
        <v>52</v>
      </c>
      <c r="C102" s="362"/>
      <c r="D102" s="363"/>
      <c r="E102" s="364"/>
      <c r="F102" s="44"/>
      <c r="G102" s="362"/>
      <c r="H102" s="363"/>
      <c r="I102" s="364"/>
      <c r="J102" s="44"/>
      <c r="K102" s="362"/>
      <c r="L102" s="363"/>
      <c r="M102" s="364"/>
      <c r="N102" s="44"/>
      <c r="P102" s="47"/>
      <c r="Q102" s="21"/>
      <c r="R102" s="7"/>
      <c r="S102" s="7"/>
      <c r="T102" s="22">
        <f t="shared" si="49"/>
        <v>0</v>
      </c>
      <c r="U102" s="22">
        <f t="shared" si="47"/>
        <v>0</v>
      </c>
      <c r="V102" s="22">
        <f t="shared" si="48"/>
        <v>0</v>
      </c>
      <c r="W102" s="7"/>
      <c r="X102" s="22">
        <f t="shared" si="50"/>
        <v>0</v>
      </c>
      <c r="Y102" s="22">
        <f t="shared" si="51"/>
        <v>0</v>
      </c>
      <c r="Z102" s="22">
        <f t="shared" si="52"/>
        <v>0</v>
      </c>
      <c r="AA102" s="7"/>
      <c r="AB102" s="23">
        <f t="shared" ref="AB102:AD102" si="58">AB101</f>
        <v>1</v>
      </c>
      <c r="AC102" s="23">
        <f t="shared" si="58"/>
        <v>0</v>
      </c>
      <c r="AD102" s="23">
        <f t="shared" si="58"/>
        <v>0</v>
      </c>
      <c r="AE102" s="22">
        <f t="shared" si="54"/>
        <v>0</v>
      </c>
    </row>
    <row r="103" spans="2:31">
      <c r="B103" s="20" t="s">
        <v>53</v>
      </c>
      <c r="C103" s="362"/>
      <c r="D103" s="363"/>
      <c r="E103" s="364"/>
      <c r="F103" s="44"/>
      <c r="G103" s="362"/>
      <c r="H103" s="363"/>
      <c r="I103" s="364"/>
      <c r="J103" s="44"/>
      <c r="K103" s="362"/>
      <c r="L103" s="363"/>
      <c r="M103" s="364"/>
      <c r="N103" s="44"/>
      <c r="P103" s="47"/>
      <c r="Q103" s="21"/>
      <c r="R103" s="7"/>
      <c r="S103" s="7"/>
      <c r="T103" s="22">
        <f t="shared" si="49"/>
        <v>0</v>
      </c>
      <c r="U103" s="22">
        <f t="shared" si="47"/>
        <v>0</v>
      </c>
      <c r="V103" s="22">
        <f t="shared" si="48"/>
        <v>0</v>
      </c>
      <c r="W103" s="7"/>
      <c r="X103" s="22">
        <f t="shared" si="50"/>
        <v>0</v>
      </c>
      <c r="Y103" s="22">
        <f t="shared" si="51"/>
        <v>0</v>
      </c>
      <c r="Z103" s="22">
        <f t="shared" si="52"/>
        <v>0</v>
      </c>
      <c r="AA103" s="7"/>
      <c r="AB103" s="23">
        <f t="shared" ref="AB103:AD103" si="59">AB102</f>
        <v>1</v>
      </c>
      <c r="AC103" s="23">
        <f t="shared" si="59"/>
        <v>0</v>
      </c>
      <c r="AD103" s="23">
        <f t="shared" si="59"/>
        <v>0</v>
      </c>
      <c r="AE103" s="22">
        <f t="shared" si="54"/>
        <v>0</v>
      </c>
    </row>
    <row r="104" spans="2:31">
      <c r="B104" s="9"/>
      <c r="C104" s="24"/>
      <c r="D104" s="7"/>
      <c r="E104" s="7"/>
      <c r="F104" s="25" t="s">
        <v>54</v>
      </c>
      <c r="J104" s="25" t="s">
        <v>55</v>
      </c>
      <c r="M104" s="7"/>
      <c r="N104" s="25" t="s">
        <v>56</v>
      </c>
      <c r="P104" s="19" t="s">
        <v>4</v>
      </c>
      <c r="Q104" s="21"/>
      <c r="R104" s="7"/>
      <c r="S104" s="26" t="s">
        <v>57</v>
      </c>
      <c r="T104" s="22">
        <f>IF(ISNUMBER($F96),1/($H92+SUM(T96:T103)+$H93),0)</f>
        <v>0</v>
      </c>
      <c r="U104" s="22">
        <f>IF(ISNUMBER($F96),1/($H92+SUM(U96:U103)+$H93),0)</f>
        <v>0</v>
      </c>
      <c r="V104" s="22">
        <f>IF(ISNUMBER($F96),1/($H92+SUM(V96:V103)+$H93),0)</f>
        <v>0</v>
      </c>
      <c r="W104" s="7"/>
      <c r="X104" s="7"/>
      <c r="Y104" s="7"/>
      <c r="Z104" s="7"/>
      <c r="AA104" s="7"/>
      <c r="AB104" s="7"/>
      <c r="AC104" s="7"/>
      <c r="AD104" s="7"/>
      <c r="AE104" s="22"/>
    </row>
    <row r="105" spans="2:31" ht="18.75">
      <c r="B105" s="9"/>
      <c r="C105" s="24"/>
      <c r="D105" s="24"/>
      <c r="E105" s="24"/>
      <c r="F105" s="27">
        <f>MAX(0,1-J105-N105)</f>
        <v>1</v>
      </c>
      <c r="G105" s="24"/>
      <c r="H105" s="24"/>
      <c r="I105" s="24"/>
      <c r="J105" s="50"/>
      <c r="K105" s="14"/>
      <c r="L105" s="24"/>
      <c r="M105" s="24"/>
      <c r="N105" s="50"/>
      <c r="O105" s="14"/>
      <c r="P105" s="38" t="str">
        <f>IF(ISNUMBER(P96),SUM(P96:P104)/10,"")</f>
        <v/>
      </c>
      <c r="Q105" s="28" t="s">
        <v>58</v>
      </c>
      <c r="R105" s="7"/>
      <c r="S105" s="26" t="s">
        <v>59</v>
      </c>
      <c r="T105" s="49">
        <f>1-SUM(U105:V105)</f>
        <v>1</v>
      </c>
      <c r="U105" s="49">
        <f>J105</f>
        <v>0</v>
      </c>
      <c r="V105" s="49">
        <f>N105</f>
        <v>0</v>
      </c>
      <c r="W105" s="26"/>
      <c r="X105" s="7"/>
      <c r="Y105" s="7"/>
      <c r="Z105" s="7"/>
      <c r="AA105" s="7"/>
      <c r="AB105" s="7"/>
      <c r="AC105" s="7"/>
      <c r="AD105" s="7"/>
      <c r="AE105" s="22"/>
    </row>
    <row r="106" spans="2:31">
      <c r="B106" s="9"/>
      <c r="C106" s="39" t="str">
        <f>IF(J105+N105&gt;1,"Součet dílčích ploch je vyšší než 100 %!","")</f>
        <v/>
      </c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14"/>
      <c r="P106" s="7"/>
      <c r="Q106" s="21"/>
      <c r="R106" s="7"/>
      <c r="S106" s="23"/>
      <c r="T106" s="22"/>
      <c r="U106" s="22"/>
      <c r="V106" s="22"/>
      <c r="W106" s="7"/>
      <c r="X106" s="7"/>
      <c r="Y106" s="7"/>
      <c r="Z106" s="7"/>
      <c r="AA106" s="7"/>
      <c r="AB106" s="7"/>
      <c r="AC106" s="7"/>
      <c r="AD106" s="7"/>
      <c r="AE106" s="22"/>
    </row>
    <row r="107" spans="2:31" ht="18.75">
      <c r="B107" s="9"/>
      <c r="D107" s="7"/>
      <c r="E107" s="18" t="s">
        <v>60</v>
      </c>
      <c r="F107" s="45"/>
      <c r="G107" s="24" t="s">
        <v>61</v>
      </c>
      <c r="H107" s="7"/>
      <c r="I107" s="7"/>
      <c r="J107" s="7"/>
      <c r="K107" s="29" t="s">
        <v>62</v>
      </c>
      <c r="L107" s="40" t="str">
        <f>IF(ISNUMBER(F96),IF(T108&lt;0.1,1/T107,1/(AE107*1.1))+F107,"")</f>
        <v/>
      </c>
      <c r="M107" s="41"/>
      <c r="N107" s="24" t="s">
        <v>61</v>
      </c>
      <c r="O107" s="7"/>
      <c r="P107" s="7"/>
      <c r="Q107" s="21"/>
      <c r="R107" s="7"/>
      <c r="S107" s="23" t="s">
        <v>63</v>
      </c>
      <c r="T107" s="22">
        <f>IF(ISNUMBER(F96),AVERAGE(V107,AE107),0)</f>
        <v>0</v>
      </c>
      <c r="U107" s="23" t="s">
        <v>64</v>
      </c>
      <c r="V107" s="22">
        <f>IF(ISNUMBER(F96),1/SUMPRODUCT(T105:V105,T104:V104),0)</f>
        <v>0</v>
      </c>
      <c r="W107" s="7"/>
      <c r="X107" s="7"/>
      <c r="Y107" s="7"/>
      <c r="Z107" s="7"/>
      <c r="AA107" s="30"/>
      <c r="AB107" s="30"/>
      <c r="AC107" s="7"/>
      <c r="AD107" s="23" t="s">
        <v>65</v>
      </c>
      <c r="AE107" s="22">
        <f>$H92+SUM(AE96:AE103)+$H93</f>
        <v>0</v>
      </c>
    </row>
    <row r="108" spans="2:31">
      <c r="B108" s="31"/>
      <c r="C108" s="42" t="str">
        <f>IF(T108&lt;=0.1,"","Chyba výpočtu hodnoty U asi převyšuje 10 %. Spočítat tepelné mosty?")</f>
        <v/>
      </c>
      <c r="D108" s="32"/>
      <c r="E108" s="32"/>
      <c r="F108" s="33"/>
      <c r="G108" s="32"/>
      <c r="H108" s="32"/>
      <c r="I108" s="32"/>
      <c r="J108" s="32"/>
      <c r="K108" s="32"/>
      <c r="L108" s="32"/>
      <c r="M108" s="32"/>
      <c r="N108" s="32"/>
      <c r="O108" s="32"/>
      <c r="P108" s="34"/>
      <c r="Q108" s="35"/>
      <c r="R108" s="7"/>
      <c r="S108" s="23" t="s">
        <v>66</v>
      </c>
      <c r="T108" s="36">
        <f>IF(ISNUMBER(F96),(V107-AE107)/(2*T107),0)</f>
        <v>0</v>
      </c>
      <c r="U108" s="37"/>
      <c r="V108" s="7"/>
      <c r="W108" s="23"/>
      <c r="X108" s="7"/>
      <c r="Y108" s="7"/>
      <c r="Z108" s="7"/>
      <c r="AA108" s="7"/>
      <c r="AB108" s="7"/>
      <c r="AC108" s="7"/>
      <c r="AD108" s="7"/>
    </row>
    <row r="109" spans="2:31"/>
    <row r="110" spans="2:31">
      <c r="B110" s="2"/>
      <c r="C110" s="3" t="s">
        <v>35</v>
      </c>
      <c r="D110" s="4" t="s">
        <v>36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6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2:31" ht="15.75">
      <c r="B111" s="9"/>
      <c r="C111" s="48"/>
      <c r="D111" s="46"/>
      <c r="E111" s="43"/>
      <c r="F111" s="43"/>
      <c r="G111" s="43"/>
      <c r="H111" s="43"/>
      <c r="I111" s="43"/>
      <c r="J111" s="43"/>
      <c r="K111" s="43"/>
      <c r="L111" s="43"/>
      <c r="M111" s="43"/>
      <c r="N111" s="151" t="str">
        <f>L128</f>
        <v/>
      </c>
      <c r="O111" s="10"/>
      <c r="P111" s="10"/>
      <c r="Q111" s="11"/>
      <c r="R111" s="7"/>
      <c r="S111" s="7"/>
      <c r="T111" s="12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spans="2:31">
      <c r="B112" s="9"/>
      <c r="Q112" s="11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spans="2:31">
      <c r="B113" s="9"/>
      <c r="D113" s="7"/>
      <c r="E113" s="7"/>
      <c r="G113" s="13" t="s">
        <v>37</v>
      </c>
      <c r="H113" s="45"/>
      <c r="Q113" s="11"/>
      <c r="R113" s="7"/>
      <c r="S113" s="7"/>
      <c r="T113" s="7" t="s">
        <v>38</v>
      </c>
      <c r="U113" s="7"/>
      <c r="V113" s="7"/>
      <c r="W113" s="7"/>
      <c r="X113" s="7" t="s">
        <v>39</v>
      </c>
      <c r="Y113" s="7"/>
      <c r="Z113" s="7"/>
      <c r="AA113" s="7"/>
      <c r="AB113" s="7"/>
      <c r="AC113" s="7"/>
      <c r="AD113" s="7"/>
    </row>
    <row r="114" spans="2:31">
      <c r="B114" s="9"/>
      <c r="D114" s="7"/>
      <c r="E114" s="7"/>
      <c r="G114" s="13" t="s">
        <v>40</v>
      </c>
      <c r="H114" s="45"/>
      <c r="Q114" s="11"/>
      <c r="R114" s="7"/>
      <c r="U114" s="8" t="s">
        <v>41</v>
      </c>
      <c r="Y114" s="8" t="s">
        <v>42</v>
      </c>
    </row>
    <row r="115" spans="2:31" ht="15.75">
      <c r="B115" s="9"/>
      <c r="D115" s="7"/>
      <c r="E115" s="7"/>
      <c r="I115" s="13"/>
      <c r="J115" s="13"/>
      <c r="P115" s="14"/>
      <c r="Q115" s="11"/>
      <c r="R115" s="7"/>
      <c r="S115" s="7"/>
      <c r="T115" s="15"/>
      <c r="U115" s="12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2:31">
      <c r="B116" s="9"/>
      <c r="C116" s="16" t="s">
        <v>43</v>
      </c>
      <c r="D116" s="7"/>
      <c r="E116" s="7"/>
      <c r="F116" s="17" t="s">
        <v>44</v>
      </c>
      <c r="G116" s="16" t="s">
        <v>45</v>
      </c>
      <c r="H116" s="18"/>
      <c r="I116" s="18"/>
      <c r="J116" s="17" t="s">
        <v>44</v>
      </c>
      <c r="K116" s="16" t="s">
        <v>46</v>
      </c>
      <c r="L116" s="18"/>
      <c r="M116" s="18"/>
      <c r="N116" s="17" t="s">
        <v>44</v>
      </c>
      <c r="P116" s="19" t="s">
        <v>47</v>
      </c>
      <c r="Q116" s="11"/>
      <c r="R116" s="7"/>
      <c r="S116" s="7"/>
      <c r="T116" s="17" t="s">
        <v>48</v>
      </c>
      <c r="U116" s="17" t="s">
        <v>49</v>
      </c>
      <c r="V116" s="17" t="s">
        <v>50</v>
      </c>
      <c r="W116" s="7"/>
      <c r="X116" s="17" t="s">
        <v>48</v>
      </c>
      <c r="Y116" s="17" t="s">
        <v>49</v>
      </c>
      <c r="Z116" s="17" t="s">
        <v>50</v>
      </c>
      <c r="AA116" s="17"/>
      <c r="AB116" s="17" t="s">
        <v>48</v>
      </c>
      <c r="AC116" s="17" t="s">
        <v>49</v>
      </c>
      <c r="AD116" s="17" t="s">
        <v>50</v>
      </c>
      <c r="AE116" s="17" t="s">
        <v>38</v>
      </c>
    </row>
    <row r="117" spans="2:31">
      <c r="B117" s="20" t="s">
        <v>28</v>
      </c>
      <c r="C117" s="362"/>
      <c r="D117" s="363"/>
      <c r="E117" s="364"/>
      <c r="F117" s="44"/>
      <c r="G117" s="362"/>
      <c r="H117" s="363"/>
      <c r="I117" s="364"/>
      <c r="J117" s="44"/>
      <c r="K117" s="362"/>
      <c r="L117" s="363"/>
      <c r="M117" s="364"/>
      <c r="N117" s="44"/>
      <c r="P117" s="47"/>
      <c r="Q117" s="21"/>
      <c r="R117" s="7"/>
      <c r="S117" s="7"/>
      <c r="T117" s="22">
        <f>IF(F117&gt;0,$P117/1000/F117,0)</f>
        <v>0</v>
      </c>
      <c r="U117" s="22">
        <f t="shared" ref="U117:U124" si="60">IF(J117&gt;0,$P117/1000/J117,$T117)</f>
        <v>0</v>
      </c>
      <c r="V117" s="22">
        <f t="shared" ref="V117:V124" si="61">IF(N117&gt;0,$P117/1000/N117,$T117)</f>
        <v>0</v>
      </c>
      <c r="W117" s="7"/>
      <c r="X117" s="22">
        <f>F117</f>
        <v>0</v>
      </c>
      <c r="Y117" s="22">
        <f>IF(J117&gt;0,J117,$X117)</f>
        <v>0</v>
      </c>
      <c r="Z117" s="22">
        <f>IF(N117&gt;0,N117,$X117)</f>
        <v>0</v>
      </c>
      <c r="AA117" s="7"/>
      <c r="AB117" s="23">
        <f>T126</f>
        <v>1</v>
      </c>
      <c r="AC117" s="23">
        <f>U126</f>
        <v>0</v>
      </c>
      <c r="AD117" s="23">
        <f>V126</f>
        <v>0</v>
      </c>
      <c r="AE117" s="22">
        <f>IF(X117&lt;&gt;0,P117/1000/SUMPRODUCT(AB117:AD117,X117:Z117),0)</f>
        <v>0</v>
      </c>
    </row>
    <row r="118" spans="2:31">
      <c r="B118" s="20" t="s">
        <v>29</v>
      </c>
      <c r="C118" s="362"/>
      <c r="D118" s="363"/>
      <c r="E118" s="364"/>
      <c r="F118" s="44"/>
      <c r="G118" s="362"/>
      <c r="H118" s="363"/>
      <c r="I118" s="364"/>
      <c r="J118" s="44"/>
      <c r="K118" s="362"/>
      <c r="L118" s="363"/>
      <c r="M118" s="364"/>
      <c r="N118" s="44"/>
      <c r="P118" s="47"/>
      <c r="Q118" s="21"/>
      <c r="R118" s="7"/>
      <c r="S118" s="7"/>
      <c r="T118" s="22">
        <f t="shared" ref="T118:T124" si="62">IF(F118&gt;0,$P118/1000/F118,0)</f>
        <v>0</v>
      </c>
      <c r="U118" s="22">
        <f t="shared" si="60"/>
        <v>0</v>
      </c>
      <c r="V118" s="22">
        <f t="shared" si="61"/>
        <v>0</v>
      </c>
      <c r="W118" s="7"/>
      <c r="X118" s="22">
        <f t="shared" ref="X118:X124" si="63">F118</f>
        <v>0</v>
      </c>
      <c r="Y118" s="22">
        <f t="shared" ref="Y118:Y124" si="64">IF(J118&gt;0,J118,$X118)</f>
        <v>0</v>
      </c>
      <c r="Z118" s="22">
        <f t="shared" ref="Z118:Z124" si="65">IF(N118&gt;0,N118,$X118)</f>
        <v>0</v>
      </c>
      <c r="AA118" s="7"/>
      <c r="AB118" s="23">
        <f t="shared" ref="AB118:AD118" si="66">AB117</f>
        <v>1</v>
      </c>
      <c r="AC118" s="23">
        <f t="shared" si="66"/>
        <v>0</v>
      </c>
      <c r="AD118" s="23">
        <f t="shared" si="66"/>
        <v>0</v>
      </c>
      <c r="AE118" s="22">
        <f t="shared" ref="AE118:AE124" si="67">IF(X118&lt;&gt;0,P118/1000/SUMPRODUCT(AB118:AD118,X118:Z118),0)</f>
        <v>0</v>
      </c>
    </row>
    <row r="119" spans="2:31">
      <c r="B119" s="20" t="s">
        <v>30</v>
      </c>
      <c r="C119" s="362"/>
      <c r="D119" s="363"/>
      <c r="E119" s="364"/>
      <c r="F119" s="44"/>
      <c r="G119" s="362"/>
      <c r="H119" s="363"/>
      <c r="I119" s="364"/>
      <c r="J119" s="44"/>
      <c r="K119" s="362"/>
      <c r="L119" s="363"/>
      <c r="M119" s="364"/>
      <c r="N119" s="44"/>
      <c r="P119" s="47"/>
      <c r="Q119" s="21"/>
      <c r="R119" s="7"/>
      <c r="S119" s="7"/>
      <c r="T119" s="22">
        <f t="shared" si="62"/>
        <v>0</v>
      </c>
      <c r="U119" s="22">
        <f t="shared" si="60"/>
        <v>0</v>
      </c>
      <c r="V119" s="22">
        <f t="shared" si="61"/>
        <v>0</v>
      </c>
      <c r="W119" s="7"/>
      <c r="X119" s="22">
        <f t="shared" si="63"/>
        <v>0</v>
      </c>
      <c r="Y119" s="22">
        <f t="shared" si="64"/>
        <v>0</v>
      </c>
      <c r="Z119" s="22">
        <f t="shared" si="65"/>
        <v>0</v>
      </c>
      <c r="AA119" s="7"/>
      <c r="AB119" s="23">
        <f t="shared" ref="AB119:AD119" si="68">AB118</f>
        <v>1</v>
      </c>
      <c r="AC119" s="23">
        <f t="shared" si="68"/>
        <v>0</v>
      </c>
      <c r="AD119" s="23">
        <f t="shared" si="68"/>
        <v>0</v>
      </c>
      <c r="AE119" s="22">
        <f t="shared" si="67"/>
        <v>0</v>
      </c>
    </row>
    <row r="120" spans="2:31">
      <c r="B120" s="20" t="s">
        <v>31</v>
      </c>
      <c r="C120" s="362"/>
      <c r="D120" s="363"/>
      <c r="E120" s="364"/>
      <c r="F120" s="44"/>
      <c r="G120" s="362"/>
      <c r="H120" s="363"/>
      <c r="I120" s="364"/>
      <c r="J120" s="44"/>
      <c r="K120" s="362"/>
      <c r="L120" s="363"/>
      <c r="M120" s="364"/>
      <c r="N120" s="44"/>
      <c r="P120" s="47"/>
      <c r="Q120" s="21"/>
      <c r="R120" s="7"/>
      <c r="S120" s="7"/>
      <c r="T120" s="22">
        <f t="shared" si="62"/>
        <v>0</v>
      </c>
      <c r="U120" s="22">
        <f t="shared" si="60"/>
        <v>0</v>
      </c>
      <c r="V120" s="22">
        <f t="shared" si="61"/>
        <v>0</v>
      </c>
      <c r="W120" s="7"/>
      <c r="X120" s="22">
        <f t="shared" si="63"/>
        <v>0</v>
      </c>
      <c r="Y120" s="22">
        <f t="shared" si="64"/>
        <v>0</v>
      </c>
      <c r="Z120" s="22">
        <f t="shared" si="65"/>
        <v>0</v>
      </c>
      <c r="AA120" s="7"/>
      <c r="AB120" s="23">
        <f>AB119</f>
        <v>1</v>
      </c>
      <c r="AC120" s="23">
        <f>AC119</f>
        <v>0</v>
      </c>
      <c r="AD120" s="23">
        <f>AD119</f>
        <v>0</v>
      </c>
      <c r="AE120" s="22">
        <f t="shared" si="67"/>
        <v>0</v>
      </c>
    </row>
    <row r="121" spans="2:31">
      <c r="B121" s="20" t="s">
        <v>32</v>
      </c>
      <c r="C121" s="362"/>
      <c r="D121" s="363"/>
      <c r="E121" s="364"/>
      <c r="F121" s="44"/>
      <c r="G121" s="362"/>
      <c r="H121" s="363"/>
      <c r="I121" s="364"/>
      <c r="J121" s="44"/>
      <c r="K121" s="362"/>
      <c r="L121" s="363"/>
      <c r="M121" s="364"/>
      <c r="N121" s="44"/>
      <c r="P121" s="47"/>
      <c r="Q121" s="21"/>
      <c r="R121" s="7"/>
      <c r="S121" s="7"/>
      <c r="T121" s="22">
        <f t="shared" si="62"/>
        <v>0</v>
      </c>
      <c r="U121" s="22">
        <f t="shared" si="60"/>
        <v>0</v>
      </c>
      <c r="V121" s="22">
        <f t="shared" si="61"/>
        <v>0</v>
      </c>
      <c r="W121" s="7"/>
      <c r="X121" s="22">
        <f t="shared" si="63"/>
        <v>0</v>
      </c>
      <c r="Y121" s="22">
        <f t="shared" si="64"/>
        <v>0</v>
      </c>
      <c r="Z121" s="22">
        <f t="shared" si="65"/>
        <v>0</v>
      </c>
      <c r="AA121" s="7"/>
      <c r="AB121" s="23">
        <f t="shared" ref="AB121:AD121" si="69">AB120</f>
        <v>1</v>
      </c>
      <c r="AC121" s="23">
        <f t="shared" si="69"/>
        <v>0</v>
      </c>
      <c r="AD121" s="23">
        <f t="shared" si="69"/>
        <v>0</v>
      </c>
      <c r="AE121" s="22">
        <f t="shared" si="67"/>
        <v>0</v>
      </c>
    </row>
    <row r="122" spans="2:31">
      <c r="B122" s="20" t="s">
        <v>51</v>
      </c>
      <c r="C122" s="362"/>
      <c r="D122" s="363"/>
      <c r="E122" s="364"/>
      <c r="F122" s="44"/>
      <c r="G122" s="362"/>
      <c r="H122" s="363"/>
      <c r="I122" s="364"/>
      <c r="J122" s="44"/>
      <c r="K122" s="362"/>
      <c r="L122" s="363"/>
      <c r="M122" s="364"/>
      <c r="N122" s="44"/>
      <c r="P122" s="47"/>
      <c r="Q122" s="21"/>
      <c r="R122" s="7"/>
      <c r="S122" s="7"/>
      <c r="T122" s="22">
        <f t="shared" si="62"/>
        <v>0</v>
      </c>
      <c r="U122" s="22">
        <f t="shared" si="60"/>
        <v>0</v>
      </c>
      <c r="V122" s="22">
        <f t="shared" si="61"/>
        <v>0</v>
      </c>
      <c r="W122" s="7"/>
      <c r="X122" s="22">
        <f t="shared" si="63"/>
        <v>0</v>
      </c>
      <c r="Y122" s="22">
        <f t="shared" si="64"/>
        <v>0</v>
      </c>
      <c r="Z122" s="22">
        <f t="shared" si="65"/>
        <v>0</v>
      </c>
      <c r="AA122" s="7"/>
      <c r="AB122" s="23">
        <f t="shared" ref="AB122:AD122" si="70">AB121</f>
        <v>1</v>
      </c>
      <c r="AC122" s="23">
        <f t="shared" si="70"/>
        <v>0</v>
      </c>
      <c r="AD122" s="23">
        <f t="shared" si="70"/>
        <v>0</v>
      </c>
      <c r="AE122" s="22">
        <f t="shared" si="67"/>
        <v>0</v>
      </c>
    </row>
    <row r="123" spans="2:31">
      <c r="B123" s="20" t="s">
        <v>52</v>
      </c>
      <c r="C123" s="362"/>
      <c r="D123" s="363"/>
      <c r="E123" s="364"/>
      <c r="F123" s="44"/>
      <c r="G123" s="362"/>
      <c r="H123" s="363"/>
      <c r="I123" s="364"/>
      <c r="J123" s="44"/>
      <c r="K123" s="362"/>
      <c r="L123" s="363"/>
      <c r="M123" s="364"/>
      <c r="N123" s="44"/>
      <c r="P123" s="47"/>
      <c r="Q123" s="21"/>
      <c r="R123" s="7"/>
      <c r="S123" s="7"/>
      <c r="T123" s="22">
        <f t="shared" si="62"/>
        <v>0</v>
      </c>
      <c r="U123" s="22">
        <f t="shared" si="60"/>
        <v>0</v>
      </c>
      <c r="V123" s="22">
        <f t="shared" si="61"/>
        <v>0</v>
      </c>
      <c r="W123" s="7"/>
      <c r="X123" s="22">
        <f t="shared" si="63"/>
        <v>0</v>
      </c>
      <c r="Y123" s="22">
        <f t="shared" si="64"/>
        <v>0</v>
      </c>
      <c r="Z123" s="22">
        <f t="shared" si="65"/>
        <v>0</v>
      </c>
      <c r="AA123" s="7"/>
      <c r="AB123" s="23">
        <f t="shared" ref="AB123:AD123" si="71">AB122</f>
        <v>1</v>
      </c>
      <c r="AC123" s="23">
        <f t="shared" si="71"/>
        <v>0</v>
      </c>
      <c r="AD123" s="23">
        <f t="shared" si="71"/>
        <v>0</v>
      </c>
      <c r="AE123" s="22">
        <f t="shared" si="67"/>
        <v>0</v>
      </c>
    </row>
    <row r="124" spans="2:31">
      <c r="B124" s="20" t="s">
        <v>53</v>
      </c>
      <c r="C124" s="362"/>
      <c r="D124" s="363"/>
      <c r="E124" s="364"/>
      <c r="F124" s="44"/>
      <c r="G124" s="362"/>
      <c r="H124" s="363"/>
      <c r="I124" s="364"/>
      <c r="J124" s="44"/>
      <c r="K124" s="362"/>
      <c r="L124" s="363"/>
      <c r="M124" s="364"/>
      <c r="N124" s="44"/>
      <c r="P124" s="47"/>
      <c r="Q124" s="21"/>
      <c r="R124" s="7"/>
      <c r="S124" s="7"/>
      <c r="T124" s="22">
        <f t="shared" si="62"/>
        <v>0</v>
      </c>
      <c r="U124" s="22">
        <f t="shared" si="60"/>
        <v>0</v>
      </c>
      <c r="V124" s="22">
        <f t="shared" si="61"/>
        <v>0</v>
      </c>
      <c r="W124" s="7"/>
      <c r="X124" s="22">
        <f t="shared" si="63"/>
        <v>0</v>
      </c>
      <c r="Y124" s="22">
        <f t="shared" si="64"/>
        <v>0</v>
      </c>
      <c r="Z124" s="22">
        <f t="shared" si="65"/>
        <v>0</v>
      </c>
      <c r="AA124" s="7"/>
      <c r="AB124" s="23">
        <f t="shared" ref="AB124:AD124" si="72">AB123</f>
        <v>1</v>
      </c>
      <c r="AC124" s="23">
        <f t="shared" si="72"/>
        <v>0</v>
      </c>
      <c r="AD124" s="23">
        <f t="shared" si="72"/>
        <v>0</v>
      </c>
      <c r="AE124" s="22">
        <f t="shared" si="67"/>
        <v>0</v>
      </c>
    </row>
    <row r="125" spans="2:31">
      <c r="B125" s="9"/>
      <c r="C125" s="24"/>
      <c r="D125" s="7"/>
      <c r="E125" s="7"/>
      <c r="F125" s="25" t="s">
        <v>54</v>
      </c>
      <c r="J125" s="25" t="s">
        <v>55</v>
      </c>
      <c r="M125" s="7"/>
      <c r="N125" s="25" t="s">
        <v>56</v>
      </c>
      <c r="P125" s="19" t="s">
        <v>4</v>
      </c>
      <c r="Q125" s="21"/>
      <c r="R125" s="7"/>
      <c r="S125" s="26" t="s">
        <v>57</v>
      </c>
      <c r="T125" s="22">
        <f>IF(ISNUMBER($F117),1/($H113+SUM(T117:T124)+$H114),0)</f>
        <v>0</v>
      </c>
      <c r="U125" s="22">
        <f>IF(ISNUMBER($F117),1/($H113+SUM(U117:U124)+$H114),0)</f>
        <v>0</v>
      </c>
      <c r="V125" s="22">
        <f>IF(ISNUMBER($F117),1/($H113+SUM(V117:V124)+$H114),0)</f>
        <v>0</v>
      </c>
      <c r="W125" s="7"/>
      <c r="X125" s="7"/>
      <c r="Y125" s="7"/>
      <c r="Z125" s="7"/>
      <c r="AA125" s="7"/>
      <c r="AB125" s="7"/>
      <c r="AC125" s="7"/>
      <c r="AD125" s="7"/>
      <c r="AE125" s="22"/>
    </row>
    <row r="126" spans="2:31" ht="18.75">
      <c r="B126" s="9"/>
      <c r="C126" s="24"/>
      <c r="D126" s="24"/>
      <c r="E126" s="24"/>
      <c r="F126" s="27">
        <f>MAX(0,1-J126-N126)</f>
        <v>1</v>
      </c>
      <c r="G126" s="24"/>
      <c r="H126" s="24"/>
      <c r="I126" s="24"/>
      <c r="J126" s="50"/>
      <c r="K126" s="14"/>
      <c r="L126" s="24"/>
      <c r="M126" s="24"/>
      <c r="N126" s="50"/>
      <c r="O126" s="14"/>
      <c r="P126" s="38" t="str">
        <f>IF(ISNUMBER(P117),SUM(P117:P125)/10,"")</f>
        <v/>
      </c>
      <c r="Q126" s="28" t="s">
        <v>58</v>
      </c>
      <c r="R126" s="7"/>
      <c r="S126" s="26" t="s">
        <v>59</v>
      </c>
      <c r="T126" s="49">
        <f>1-SUM(U126:V126)</f>
        <v>1</v>
      </c>
      <c r="U126" s="49">
        <f>J126</f>
        <v>0</v>
      </c>
      <c r="V126" s="49">
        <f>N126</f>
        <v>0</v>
      </c>
      <c r="W126" s="26"/>
      <c r="X126" s="7"/>
      <c r="Y126" s="7"/>
      <c r="Z126" s="7"/>
      <c r="AA126" s="7"/>
      <c r="AB126" s="7"/>
      <c r="AC126" s="7"/>
      <c r="AD126" s="7"/>
      <c r="AE126" s="22"/>
    </row>
    <row r="127" spans="2:31">
      <c r="B127" s="9"/>
      <c r="C127" s="39" t="str">
        <f>IF(J126+N126&gt;1,"Součet dílčích ploch je vyšší než 100 %!","")</f>
        <v/>
      </c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14"/>
      <c r="P127" s="7"/>
      <c r="Q127" s="21"/>
      <c r="R127" s="7"/>
      <c r="S127" s="23"/>
      <c r="T127" s="22"/>
      <c r="U127" s="22"/>
      <c r="V127" s="22"/>
      <c r="W127" s="7"/>
      <c r="X127" s="7"/>
      <c r="Y127" s="7"/>
      <c r="Z127" s="7"/>
      <c r="AA127" s="7"/>
      <c r="AB127" s="7"/>
      <c r="AC127" s="7"/>
      <c r="AD127" s="7"/>
      <c r="AE127" s="22"/>
    </row>
    <row r="128" spans="2:31" ht="18.75">
      <c r="B128" s="9"/>
      <c r="D128" s="7"/>
      <c r="E128" s="18" t="s">
        <v>60</v>
      </c>
      <c r="F128" s="45"/>
      <c r="G128" s="24" t="s">
        <v>61</v>
      </c>
      <c r="H128" s="7"/>
      <c r="I128" s="7"/>
      <c r="J128" s="7"/>
      <c r="K128" s="29" t="s">
        <v>62</v>
      </c>
      <c r="L128" s="40" t="str">
        <f>IF(ISNUMBER(F117),IF(T129&lt;0.1,1/T128,1/(AE128*1.1))+F128,"")</f>
        <v/>
      </c>
      <c r="M128" s="41"/>
      <c r="N128" s="24" t="s">
        <v>61</v>
      </c>
      <c r="O128" s="7"/>
      <c r="P128" s="7"/>
      <c r="Q128" s="21"/>
      <c r="R128" s="7"/>
      <c r="S128" s="23" t="s">
        <v>63</v>
      </c>
      <c r="T128" s="22">
        <f>IF(ISNUMBER(F117),AVERAGE(V128,AE128),0)</f>
        <v>0</v>
      </c>
      <c r="U128" s="23" t="s">
        <v>64</v>
      </c>
      <c r="V128" s="22">
        <f>IF(ISNUMBER(F117),1/SUMPRODUCT(T126:V126,T125:V125),0)</f>
        <v>0</v>
      </c>
      <c r="W128" s="7"/>
      <c r="X128" s="7"/>
      <c r="Y128" s="7"/>
      <c r="Z128" s="7"/>
      <c r="AA128" s="30"/>
      <c r="AB128" s="30"/>
      <c r="AC128" s="7"/>
      <c r="AD128" s="23" t="s">
        <v>65</v>
      </c>
      <c r="AE128" s="22">
        <f>$H113+SUM(AE117:AE124)+$H114</f>
        <v>0</v>
      </c>
    </row>
    <row r="129" spans="2:31">
      <c r="B129" s="31"/>
      <c r="C129" s="42" t="str">
        <f>IF(T129&lt;=0.1,"","Chyba výpočtu hodnoty U asi převyšuje 10 %. Spočítat tepelné mosty?")</f>
        <v/>
      </c>
      <c r="D129" s="32"/>
      <c r="E129" s="32"/>
      <c r="F129" s="33"/>
      <c r="G129" s="32"/>
      <c r="H129" s="32"/>
      <c r="I129" s="32"/>
      <c r="J129" s="32"/>
      <c r="K129" s="32"/>
      <c r="L129" s="32"/>
      <c r="M129" s="32"/>
      <c r="N129" s="32"/>
      <c r="O129" s="32"/>
      <c r="P129" s="34"/>
      <c r="Q129" s="35"/>
      <c r="R129" s="7"/>
      <c r="S129" s="23" t="s">
        <v>66</v>
      </c>
      <c r="T129" s="36">
        <f>IF(ISNUMBER(F117),(V128-AE128)/(2*T128),0)</f>
        <v>0</v>
      </c>
      <c r="U129" s="37"/>
      <c r="V129" s="7"/>
      <c r="W129" s="23"/>
      <c r="X129" s="7"/>
      <c r="Y129" s="7"/>
      <c r="Z129" s="7"/>
      <c r="AA129" s="7"/>
      <c r="AB129" s="7"/>
      <c r="AC129" s="7"/>
      <c r="AD129" s="7"/>
    </row>
    <row r="130" spans="2:31"/>
    <row r="131" spans="2:31">
      <c r="B131" s="2"/>
      <c r="C131" s="3" t="s">
        <v>35</v>
      </c>
      <c r="D131" s="4" t="s">
        <v>36</v>
      </c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6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2:31" ht="15.75">
      <c r="B132" s="9"/>
      <c r="C132" s="48"/>
      <c r="D132" s="46"/>
      <c r="E132" s="43"/>
      <c r="F132" s="43"/>
      <c r="G132" s="43"/>
      <c r="H132" s="43"/>
      <c r="I132" s="43"/>
      <c r="J132" s="43"/>
      <c r="K132" s="43"/>
      <c r="L132" s="43"/>
      <c r="M132" s="43"/>
      <c r="N132" s="151" t="str">
        <f>L149</f>
        <v/>
      </c>
      <c r="O132" s="10"/>
      <c r="P132" s="10"/>
      <c r="Q132" s="11"/>
      <c r="R132" s="7"/>
      <c r="S132" s="7"/>
      <c r="T132" s="12"/>
      <c r="U132" s="7"/>
      <c r="V132" s="7"/>
      <c r="W132" s="7"/>
      <c r="X132" s="7"/>
      <c r="Y132" s="7"/>
      <c r="Z132" s="7"/>
      <c r="AA132" s="7"/>
      <c r="AB132" s="7"/>
      <c r="AC132" s="7"/>
      <c r="AD132" s="7"/>
    </row>
    <row r="133" spans="2:31">
      <c r="B133" s="9"/>
      <c r="Q133" s="11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</row>
    <row r="134" spans="2:31">
      <c r="B134" s="9"/>
      <c r="D134" s="7"/>
      <c r="E134" s="7"/>
      <c r="G134" s="13" t="s">
        <v>37</v>
      </c>
      <c r="H134" s="45"/>
      <c r="Q134" s="11"/>
      <c r="R134" s="7"/>
      <c r="S134" s="7"/>
      <c r="T134" s="7" t="s">
        <v>38</v>
      </c>
      <c r="U134" s="7"/>
      <c r="V134" s="7"/>
      <c r="W134" s="7"/>
      <c r="X134" s="7" t="s">
        <v>39</v>
      </c>
      <c r="Y134" s="7"/>
      <c r="Z134" s="7"/>
      <c r="AA134" s="7"/>
      <c r="AB134" s="7"/>
      <c r="AC134" s="7"/>
      <c r="AD134" s="7"/>
    </row>
    <row r="135" spans="2:31">
      <c r="B135" s="9"/>
      <c r="D135" s="7"/>
      <c r="E135" s="7"/>
      <c r="G135" s="13" t="s">
        <v>40</v>
      </c>
      <c r="H135" s="45"/>
      <c r="Q135" s="11"/>
      <c r="R135" s="7"/>
      <c r="U135" s="8" t="s">
        <v>41</v>
      </c>
      <c r="Y135" s="8" t="s">
        <v>42</v>
      </c>
    </row>
    <row r="136" spans="2:31" ht="15.75">
      <c r="B136" s="9"/>
      <c r="D136" s="7"/>
      <c r="E136" s="7"/>
      <c r="I136" s="13"/>
      <c r="J136" s="13"/>
      <c r="P136" s="14"/>
      <c r="Q136" s="11"/>
      <c r="R136" s="7"/>
      <c r="S136" s="7"/>
      <c r="T136" s="15"/>
      <c r="U136" s="12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2:31">
      <c r="B137" s="9"/>
      <c r="C137" s="16" t="s">
        <v>43</v>
      </c>
      <c r="D137" s="7"/>
      <c r="E137" s="7"/>
      <c r="F137" s="17" t="s">
        <v>44</v>
      </c>
      <c r="G137" s="16" t="s">
        <v>45</v>
      </c>
      <c r="H137" s="18"/>
      <c r="I137" s="18"/>
      <c r="J137" s="17" t="s">
        <v>44</v>
      </c>
      <c r="K137" s="16" t="s">
        <v>46</v>
      </c>
      <c r="L137" s="18"/>
      <c r="M137" s="18"/>
      <c r="N137" s="17" t="s">
        <v>44</v>
      </c>
      <c r="P137" s="19" t="s">
        <v>47</v>
      </c>
      <c r="Q137" s="11"/>
      <c r="R137" s="7"/>
      <c r="S137" s="7"/>
      <c r="T137" s="17" t="s">
        <v>48</v>
      </c>
      <c r="U137" s="17" t="s">
        <v>49</v>
      </c>
      <c r="V137" s="17" t="s">
        <v>50</v>
      </c>
      <c r="W137" s="7"/>
      <c r="X137" s="17" t="s">
        <v>48</v>
      </c>
      <c r="Y137" s="17" t="s">
        <v>49</v>
      </c>
      <c r="Z137" s="17" t="s">
        <v>50</v>
      </c>
      <c r="AA137" s="17"/>
      <c r="AB137" s="17" t="s">
        <v>48</v>
      </c>
      <c r="AC137" s="17" t="s">
        <v>49</v>
      </c>
      <c r="AD137" s="17" t="s">
        <v>50</v>
      </c>
      <c r="AE137" s="17" t="s">
        <v>38</v>
      </c>
    </row>
    <row r="138" spans="2:31">
      <c r="B138" s="20" t="s">
        <v>28</v>
      </c>
      <c r="C138" s="362"/>
      <c r="D138" s="363"/>
      <c r="E138" s="364"/>
      <c r="F138" s="44"/>
      <c r="G138" s="362"/>
      <c r="H138" s="363"/>
      <c r="I138" s="364"/>
      <c r="J138" s="44"/>
      <c r="K138" s="362"/>
      <c r="L138" s="363"/>
      <c r="M138" s="364"/>
      <c r="N138" s="44"/>
      <c r="P138" s="47"/>
      <c r="Q138" s="21"/>
      <c r="R138" s="7"/>
      <c r="S138" s="7"/>
      <c r="T138" s="22">
        <f>IF(F138&gt;0,$P138/1000/F138,0)</f>
        <v>0</v>
      </c>
      <c r="U138" s="22">
        <f t="shared" ref="U138:U145" si="73">IF(J138&gt;0,$P138/1000/J138,$T138)</f>
        <v>0</v>
      </c>
      <c r="V138" s="22">
        <f t="shared" ref="V138:V145" si="74">IF(N138&gt;0,$P138/1000/N138,$T138)</f>
        <v>0</v>
      </c>
      <c r="W138" s="7"/>
      <c r="X138" s="22">
        <f>F138</f>
        <v>0</v>
      </c>
      <c r="Y138" s="22">
        <f>IF(J138&gt;0,J138,$X138)</f>
        <v>0</v>
      </c>
      <c r="Z138" s="22">
        <f>IF(N138&gt;0,N138,$X138)</f>
        <v>0</v>
      </c>
      <c r="AA138" s="7"/>
      <c r="AB138" s="23">
        <f>T147</f>
        <v>1</v>
      </c>
      <c r="AC138" s="23">
        <f>U147</f>
        <v>0</v>
      </c>
      <c r="AD138" s="23">
        <f>V147</f>
        <v>0</v>
      </c>
      <c r="AE138" s="22">
        <f>IF(X138&lt;&gt;0,P138/1000/SUMPRODUCT(AB138:AD138,X138:Z138),0)</f>
        <v>0</v>
      </c>
    </row>
    <row r="139" spans="2:31">
      <c r="B139" s="20" t="s">
        <v>29</v>
      </c>
      <c r="C139" s="362"/>
      <c r="D139" s="363"/>
      <c r="E139" s="364"/>
      <c r="F139" s="44"/>
      <c r="G139" s="362"/>
      <c r="H139" s="363"/>
      <c r="I139" s="364"/>
      <c r="J139" s="44"/>
      <c r="K139" s="362"/>
      <c r="L139" s="363"/>
      <c r="M139" s="364"/>
      <c r="N139" s="44"/>
      <c r="P139" s="47"/>
      <c r="Q139" s="21"/>
      <c r="R139" s="7"/>
      <c r="S139" s="7"/>
      <c r="T139" s="22">
        <f t="shared" ref="T139:T145" si="75">IF(F139&gt;0,$P139/1000/F139,0)</f>
        <v>0</v>
      </c>
      <c r="U139" s="22">
        <f t="shared" si="73"/>
        <v>0</v>
      </c>
      <c r="V139" s="22">
        <f t="shared" si="74"/>
        <v>0</v>
      </c>
      <c r="W139" s="7"/>
      <c r="X139" s="22">
        <f t="shared" ref="X139:X145" si="76">F139</f>
        <v>0</v>
      </c>
      <c r="Y139" s="22">
        <f t="shared" ref="Y139:Y145" si="77">IF(J139&gt;0,J139,$X139)</f>
        <v>0</v>
      </c>
      <c r="Z139" s="22">
        <f t="shared" ref="Z139:Z145" si="78">IF(N139&gt;0,N139,$X139)</f>
        <v>0</v>
      </c>
      <c r="AA139" s="7"/>
      <c r="AB139" s="23">
        <f t="shared" ref="AB139:AD139" si="79">AB138</f>
        <v>1</v>
      </c>
      <c r="AC139" s="23">
        <f t="shared" si="79"/>
        <v>0</v>
      </c>
      <c r="AD139" s="23">
        <f t="shared" si="79"/>
        <v>0</v>
      </c>
      <c r="AE139" s="22">
        <f t="shared" ref="AE139:AE145" si="80">IF(X139&lt;&gt;0,P139/1000/SUMPRODUCT(AB139:AD139,X139:Z139),0)</f>
        <v>0</v>
      </c>
    </row>
    <row r="140" spans="2:31">
      <c r="B140" s="20" t="s">
        <v>30</v>
      </c>
      <c r="C140" s="362"/>
      <c r="D140" s="363"/>
      <c r="E140" s="364"/>
      <c r="F140" s="44"/>
      <c r="G140" s="362"/>
      <c r="H140" s="363"/>
      <c r="I140" s="364"/>
      <c r="J140" s="44"/>
      <c r="K140" s="362"/>
      <c r="L140" s="363"/>
      <c r="M140" s="364"/>
      <c r="N140" s="44"/>
      <c r="P140" s="47"/>
      <c r="Q140" s="21"/>
      <c r="R140" s="7"/>
      <c r="S140" s="7"/>
      <c r="T140" s="22">
        <f t="shared" si="75"/>
        <v>0</v>
      </c>
      <c r="U140" s="22">
        <f t="shared" si="73"/>
        <v>0</v>
      </c>
      <c r="V140" s="22">
        <f t="shared" si="74"/>
        <v>0</v>
      </c>
      <c r="W140" s="7"/>
      <c r="X140" s="22">
        <f t="shared" si="76"/>
        <v>0</v>
      </c>
      <c r="Y140" s="22">
        <f t="shared" si="77"/>
        <v>0</v>
      </c>
      <c r="Z140" s="22">
        <f t="shared" si="78"/>
        <v>0</v>
      </c>
      <c r="AA140" s="7"/>
      <c r="AB140" s="23">
        <f t="shared" ref="AB140:AD140" si="81">AB139</f>
        <v>1</v>
      </c>
      <c r="AC140" s="23">
        <f t="shared" si="81"/>
        <v>0</v>
      </c>
      <c r="AD140" s="23">
        <f t="shared" si="81"/>
        <v>0</v>
      </c>
      <c r="AE140" s="22">
        <f t="shared" si="80"/>
        <v>0</v>
      </c>
    </row>
    <row r="141" spans="2:31">
      <c r="B141" s="20" t="s">
        <v>31</v>
      </c>
      <c r="C141" s="362"/>
      <c r="D141" s="363"/>
      <c r="E141" s="364"/>
      <c r="F141" s="44"/>
      <c r="G141" s="362"/>
      <c r="H141" s="363"/>
      <c r="I141" s="364"/>
      <c r="J141" s="44"/>
      <c r="K141" s="362"/>
      <c r="L141" s="363"/>
      <c r="M141" s="364"/>
      <c r="N141" s="44"/>
      <c r="P141" s="47"/>
      <c r="Q141" s="21"/>
      <c r="R141" s="7"/>
      <c r="S141" s="7"/>
      <c r="T141" s="22">
        <f t="shared" si="75"/>
        <v>0</v>
      </c>
      <c r="U141" s="22">
        <f t="shared" si="73"/>
        <v>0</v>
      </c>
      <c r="V141" s="22">
        <f t="shared" si="74"/>
        <v>0</v>
      </c>
      <c r="W141" s="7"/>
      <c r="X141" s="22">
        <f t="shared" si="76"/>
        <v>0</v>
      </c>
      <c r="Y141" s="22">
        <f t="shared" si="77"/>
        <v>0</v>
      </c>
      <c r="Z141" s="22">
        <f t="shared" si="78"/>
        <v>0</v>
      </c>
      <c r="AA141" s="7"/>
      <c r="AB141" s="23">
        <f>AB140</f>
        <v>1</v>
      </c>
      <c r="AC141" s="23">
        <f>AC140</f>
        <v>0</v>
      </c>
      <c r="AD141" s="23">
        <f>AD140</f>
        <v>0</v>
      </c>
      <c r="AE141" s="22">
        <f t="shared" si="80"/>
        <v>0</v>
      </c>
    </row>
    <row r="142" spans="2:31">
      <c r="B142" s="20" t="s">
        <v>32</v>
      </c>
      <c r="C142" s="362"/>
      <c r="D142" s="363"/>
      <c r="E142" s="364"/>
      <c r="F142" s="44"/>
      <c r="G142" s="362"/>
      <c r="H142" s="363"/>
      <c r="I142" s="364"/>
      <c r="J142" s="44"/>
      <c r="K142" s="362"/>
      <c r="L142" s="363"/>
      <c r="M142" s="364"/>
      <c r="N142" s="44"/>
      <c r="P142" s="47"/>
      <c r="Q142" s="21"/>
      <c r="R142" s="7"/>
      <c r="S142" s="7"/>
      <c r="T142" s="22">
        <f t="shared" si="75"/>
        <v>0</v>
      </c>
      <c r="U142" s="22">
        <f t="shared" si="73"/>
        <v>0</v>
      </c>
      <c r="V142" s="22">
        <f t="shared" si="74"/>
        <v>0</v>
      </c>
      <c r="W142" s="7"/>
      <c r="X142" s="22">
        <f t="shared" si="76"/>
        <v>0</v>
      </c>
      <c r="Y142" s="22">
        <f t="shared" si="77"/>
        <v>0</v>
      </c>
      <c r="Z142" s="22">
        <f t="shared" si="78"/>
        <v>0</v>
      </c>
      <c r="AA142" s="7"/>
      <c r="AB142" s="23">
        <f t="shared" ref="AB142:AD142" si="82">AB141</f>
        <v>1</v>
      </c>
      <c r="AC142" s="23">
        <f t="shared" si="82"/>
        <v>0</v>
      </c>
      <c r="AD142" s="23">
        <f t="shared" si="82"/>
        <v>0</v>
      </c>
      <c r="AE142" s="22">
        <f t="shared" si="80"/>
        <v>0</v>
      </c>
    </row>
    <row r="143" spans="2:31">
      <c r="B143" s="20" t="s">
        <v>51</v>
      </c>
      <c r="C143" s="362"/>
      <c r="D143" s="363"/>
      <c r="E143" s="364"/>
      <c r="F143" s="44"/>
      <c r="G143" s="362"/>
      <c r="H143" s="363"/>
      <c r="I143" s="364"/>
      <c r="J143" s="44"/>
      <c r="K143" s="362"/>
      <c r="L143" s="363"/>
      <c r="M143" s="364"/>
      <c r="N143" s="44"/>
      <c r="P143" s="47"/>
      <c r="Q143" s="21"/>
      <c r="R143" s="7"/>
      <c r="S143" s="7"/>
      <c r="T143" s="22">
        <f t="shared" si="75"/>
        <v>0</v>
      </c>
      <c r="U143" s="22">
        <f t="shared" si="73"/>
        <v>0</v>
      </c>
      <c r="V143" s="22">
        <f t="shared" si="74"/>
        <v>0</v>
      </c>
      <c r="W143" s="7"/>
      <c r="X143" s="22">
        <f t="shared" si="76"/>
        <v>0</v>
      </c>
      <c r="Y143" s="22">
        <f t="shared" si="77"/>
        <v>0</v>
      </c>
      <c r="Z143" s="22">
        <f t="shared" si="78"/>
        <v>0</v>
      </c>
      <c r="AA143" s="7"/>
      <c r="AB143" s="23">
        <f t="shared" ref="AB143:AD143" si="83">AB142</f>
        <v>1</v>
      </c>
      <c r="AC143" s="23">
        <f t="shared" si="83"/>
        <v>0</v>
      </c>
      <c r="AD143" s="23">
        <f t="shared" si="83"/>
        <v>0</v>
      </c>
      <c r="AE143" s="22">
        <f t="shared" si="80"/>
        <v>0</v>
      </c>
    </row>
    <row r="144" spans="2:31">
      <c r="B144" s="20" t="s">
        <v>52</v>
      </c>
      <c r="C144" s="362"/>
      <c r="D144" s="363"/>
      <c r="E144" s="364"/>
      <c r="F144" s="44"/>
      <c r="G144" s="362"/>
      <c r="H144" s="363"/>
      <c r="I144" s="364"/>
      <c r="J144" s="44"/>
      <c r="K144" s="362"/>
      <c r="L144" s="363"/>
      <c r="M144" s="364"/>
      <c r="N144" s="44"/>
      <c r="P144" s="47"/>
      <c r="Q144" s="21"/>
      <c r="R144" s="7"/>
      <c r="S144" s="7"/>
      <c r="T144" s="22">
        <f t="shared" si="75"/>
        <v>0</v>
      </c>
      <c r="U144" s="22">
        <f t="shared" si="73"/>
        <v>0</v>
      </c>
      <c r="V144" s="22">
        <f t="shared" si="74"/>
        <v>0</v>
      </c>
      <c r="W144" s="7"/>
      <c r="X144" s="22">
        <f t="shared" si="76"/>
        <v>0</v>
      </c>
      <c r="Y144" s="22">
        <f t="shared" si="77"/>
        <v>0</v>
      </c>
      <c r="Z144" s="22">
        <f t="shared" si="78"/>
        <v>0</v>
      </c>
      <c r="AA144" s="7"/>
      <c r="AB144" s="23">
        <f t="shared" ref="AB144:AD144" si="84">AB143</f>
        <v>1</v>
      </c>
      <c r="AC144" s="23">
        <f t="shared" si="84"/>
        <v>0</v>
      </c>
      <c r="AD144" s="23">
        <f t="shared" si="84"/>
        <v>0</v>
      </c>
      <c r="AE144" s="22">
        <f t="shared" si="80"/>
        <v>0</v>
      </c>
    </row>
    <row r="145" spans="2:31">
      <c r="B145" s="20" t="s">
        <v>53</v>
      </c>
      <c r="C145" s="362"/>
      <c r="D145" s="363"/>
      <c r="E145" s="364"/>
      <c r="F145" s="44"/>
      <c r="G145" s="362"/>
      <c r="H145" s="363"/>
      <c r="I145" s="364"/>
      <c r="J145" s="44"/>
      <c r="K145" s="362"/>
      <c r="L145" s="363"/>
      <c r="M145" s="364"/>
      <c r="N145" s="44"/>
      <c r="P145" s="47"/>
      <c r="Q145" s="21"/>
      <c r="R145" s="7"/>
      <c r="S145" s="7"/>
      <c r="T145" s="22">
        <f t="shared" si="75"/>
        <v>0</v>
      </c>
      <c r="U145" s="22">
        <f t="shared" si="73"/>
        <v>0</v>
      </c>
      <c r="V145" s="22">
        <f t="shared" si="74"/>
        <v>0</v>
      </c>
      <c r="W145" s="7"/>
      <c r="X145" s="22">
        <f t="shared" si="76"/>
        <v>0</v>
      </c>
      <c r="Y145" s="22">
        <f t="shared" si="77"/>
        <v>0</v>
      </c>
      <c r="Z145" s="22">
        <f t="shared" si="78"/>
        <v>0</v>
      </c>
      <c r="AA145" s="7"/>
      <c r="AB145" s="23">
        <f t="shared" ref="AB145:AD145" si="85">AB144</f>
        <v>1</v>
      </c>
      <c r="AC145" s="23">
        <f t="shared" si="85"/>
        <v>0</v>
      </c>
      <c r="AD145" s="23">
        <f t="shared" si="85"/>
        <v>0</v>
      </c>
      <c r="AE145" s="22">
        <f t="shared" si="80"/>
        <v>0</v>
      </c>
    </row>
    <row r="146" spans="2:31">
      <c r="B146" s="9"/>
      <c r="C146" s="24"/>
      <c r="D146" s="7"/>
      <c r="E146" s="7"/>
      <c r="F146" s="25" t="s">
        <v>54</v>
      </c>
      <c r="J146" s="25" t="s">
        <v>55</v>
      </c>
      <c r="M146" s="7"/>
      <c r="N146" s="25" t="s">
        <v>56</v>
      </c>
      <c r="P146" s="19" t="s">
        <v>4</v>
      </c>
      <c r="Q146" s="21"/>
      <c r="R146" s="7"/>
      <c r="S146" s="26" t="s">
        <v>57</v>
      </c>
      <c r="T146" s="22">
        <f>IF(ISNUMBER($F138),1/($H134+SUM(T138:T145)+$H135),0)</f>
        <v>0</v>
      </c>
      <c r="U146" s="22">
        <f>IF(ISNUMBER($F138),1/($H134+SUM(U138:U145)+$H135),0)</f>
        <v>0</v>
      </c>
      <c r="V146" s="22">
        <f>IF(ISNUMBER($F138),1/($H134+SUM(V138:V145)+$H135),0)</f>
        <v>0</v>
      </c>
      <c r="W146" s="7"/>
      <c r="X146" s="7"/>
      <c r="Y146" s="7"/>
      <c r="Z146" s="7"/>
      <c r="AA146" s="7"/>
      <c r="AB146" s="7"/>
      <c r="AC146" s="7"/>
      <c r="AD146" s="7"/>
      <c r="AE146" s="22"/>
    </row>
    <row r="147" spans="2:31" ht="18.75">
      <c r="B147" s="9"/>
      <c r="C147" s="24"/>
      <c r="D147" s="24"/>
      <c r="E147" s="24"/>
      <c r="F147" s="27">
        <f>MAX(0,1-J147-N147)</f>
        <v>1</v>
      </c>
      <c r="G147" s="24"/>
      <c r="H147" s="24"/>
      <c r="I147" s="24"/>
      <c r="J147" s="50"/>
      <c r="K147" s="14"/>
      <c r="L147" s="24"/>
      <c r="M147" s="24"/>
      <c r="N147" s="50"/>
      <c r="O147" s="14"/>
      <c r="P147" s="38" t="str">
        <f>IF(ISNUMBER(P138),SUM(P138:P146)/10,"")</f>
        <v/>
      </c>
      <c r="Q147" s="28" t="s">
        <v>58</v>
      </c>
      <c r="R147" s="7"/>
      <c r="S147" s="26" t="s">
        <v>59</v>
      </c>
      <c r="T147" s="49">
        <f>1-SUM(U147:V147)</f>
        <v>1</v>
      </c>
      <c r="U147" s="49">
        <f>J147</f>
        <v>0</v>
      </c>
      <c r="V147" s="49">
        <f>N147</f>
        <v>0</v>
      </c>
      <c r="W147" s="26"/>
      <c r="X147" s="7"/>
      <c r="Y147" s="7"/>
      <c r="Z147" s="7"/>
      <c r="AA147" s="7"/>
      <c r="AB147" s="7"/>
      <c r="AC147" s="7"/>
      <c r="AD147" s="7"/>
      <c r="AE147" s="22"/>
    </row>
    <row r="148" spans="2:31">
      <c r="B148" s="9"/>
      <c r="C148" s="39" t="str">
        <f>IF(J147+N147&gt;1,"Součet dílčích ploch je vyšší než 100 %!","")</f>
        <v/>
      </c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14"/>
      <c r="P148" s="7"/>
      <c r="Q148" s="21"/>
      <c r="R148" s="7"/>
      <c r="S148" s="23"/>
      <c r="T148" s="22"/>
      <c r="U148" s="22"/>
      <c r="V148" s="22"/>
      <c r="W148" s="7"/>
      <c r="X148" s="7"/>
      <c r="Y148" s="7"/>
      <c r="Z148" s="7"/>
      <c r="AA148" s="7"/>
      <c r="AB148" s="7"/>
      <c r="AC148" s="7"/>
      <c r="AD148" s="7"/>
      <c r="AE148" s="22"/>
    </row>
    <row r="149" spans="2:31" ht="18.75">
      <c r="B149" s="9"/>
      <c r="D149" s="7"/>
      <c r="E149" s="18" t="s">
        <v>60</v>
      </c>
      <c r="F149" s="45"/>
      <c r="G149" s="24" t="s">
        <v>61</v>
      </c>
      <c r="H149" s="7"/>
      <c r="I149" s="7"/>
      <c r="J149" s="7"/>
      <c r="K149" s="29" t="s">
        <v>62</v>
      </c>
      <c r="L149" s="40" t="str">
        <f>IF(ISNUMBER(F138),IF(T150&lt;0.1,1/T149,1/(AE149*1.1))+F149,"")</f>
        <v/>
      </c>
      <c r="M149" s="41"/>
      <c r="N149" s="24" t="s">
        <v>61</v>
      </c>
      <c r="O149" s="7"/>
      <c r="P149" s="7"/>
      <c r="Q149" s="21"/>
      <c r="R149" s="7"/>
      <c r="S149" s="23" t="s">
        <v>63</v>
      </c>
      <c r="T149" s="22">
        <f>IF(ISNUMBER(F138),AVERAGE(V149,AE149),0)</f>
        <v>0</v>
      </c>
      <c r="U149" s="23" t="s">
        <v>64</v>
      </c>
      <c r="V149" s="22">
        <f>IF(ISNUMBER(F138),1/SUMPRODUCT(T147:V147,T146:V146),0)</f>
        <v>0</v>
      </c>
      <c r="W149" s="7"/>
      <c r="X149" s="7"/>
      <c r="Y149" s="7"/>
      <c r="Z149" s="7"/>
      <c r="AA149" s="30"/>
      <c r="AB149" s="30"/>
      <c r="AC149" s="7"/>
      <c r="AD149" s="23" t="s">
        <v>65</v>
      </c>
      <c r="AE149" s="22">
        <f>$H134+SUM(AE138:AE145)+$H135</f>
        <v>0</v>
      </c>
    </row>
    <row r="150" spans="2:31">
      <c r="B150" s="31"/>
      <c r="C150" s="42" t="str">
        <f>IF(T150&lt;=0.1,"","Chyba výpočtu hodnoty U asi převyšuje 10 %. Spočítat tepelné mosty?")</f>
        <v/>
      </c>
      <c r="D150" s="32"/>
      <c r="E150" s="32"/>
      <c r="F150" s="33"/>
      <c r="G150" s="32"/>
      <c r="H150" s="32"/>
      <c r="I150" s="32"/>
      <c r="J150" s="32"/>
      <c r="K150" s="32"/>
      <c r="L150" s="32"/>
      <c r="M150" s="32"/>
      <c r="N150" s="32"/>
      <c r="O150" s="32"/>
      <c r="P150" s="34"/>
      <c r="Q150" s="35"/>
      <c r="R150" s="7"/>
      <c r="S150" s="23" t="s">
        <v>66</v>
      </c>
      <c r="T150" s="36">
        <f>IF(ISNUMBER(F138),(V149-AE149)/(2*T149),0)</f>
        <v>0</v>
      </c>
      <c r="U150" s="37"/>
      <c r="V150" s="7"/>
      <c r="W150" s="23"/>
      <c r="X150" s="7"/>
      <c r="Y150" s="7"/>
      <c r="Z150" s="7"/>
      <c r="AA150" s="7"/>
      <c r="AB150" s="7"/>
      <c r="AC150" s="7"/>
      <c r="AD150" s="7"/>
    </row>
    <row r="151" spans="2:31"/>
    <row r="152" spans="2:31">
      <c r="B152" s="2"/>
      <c r="C152" s="3" t="s">
        <v>35</v>
      </c>
      <c r="D152" s="4" t="s">
        <v>36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6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</row>
    <row r="153" spans="2:31" ht="15.75">
      <c r="B153" s="9"/>
      <c r="C153" s="48"/>
      <c r="D153" s="46"/>
      <c r="E153" s="43"/>
      <c r="F153" s="43"/>
      <c r="G153" s="43"/>
      <c r="H153" s="43"/>
      <c r="I153" s="43"/>
      <c r="J153" s="43"/>
      <c r="K153" s="43"/>
      <c r="L153" s="43"/>
      <c r="M153" s="43"/>
      <c r="N153" s="151" t="str">
        <f>L170</f>
        <v/>
      </c>
      <c r="O153" s="10"/>
      <c r="P153" s="10"/>
      <c r="Q153" s="11"/>
      <c r="R153" s="7"/>
      <c r="S153" s="7"/>
      <c r="T153" s="12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spans="2:31">
      <c r="B154" s="9"/>
      <c r="Q154" s="11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spans="2:31">
      <c r="B155" s="9"/>
      <c r="D155" s="7"/>
      <c r="E155" s="7"/>
      <c r="G155" s="13" t="s">
        <v>37</v>
      </c>
      <c r="H155" s="45"/>
      <c r="Q155" s="11"/>
      <c r="R155" s="7"/>
      <c r="S155" s="7"/>
      <c r="T155" s="7" t="s">
        <v>38</v>
      </c>
      <c r="U155" s="7"/>
      <c r="V155" s="7"/>
      <c r="W155" s="7"/>
      <c r="X155" s="7" t="s">
        <v>39</v>
      </c>
      <c r="Y155" s="7"/>
      <c r="Z155" s="7"/>
      <c r="AA155" s="7"/>
      <c r="AB155" s="7"/>
      <c r="AC155" s="7"/>
      <c r="AD155" s="7"/>
    </row>
    <row r="156" spans="2:31">
      <c r="B156" s="9"/>
      <c r="D156" s="7"/>
      <c r="E156" s="7"/>
      <c r="G156" s="13" t="s">
        <v>40</v>
      </c>
      <c r="H156" s="45"/>
      <c r="Q156" s="11"/>
      <c r="R156" s="7"/>
      <c r="U156" s="8" t="s">
        <v>41</v>
      </c>
      <c r="Y156" s="8" t="s">
        <v>42</v>
      </c>
    </row>
    <row r="157" spans="2:31" ht="15.75">
      <c r="B157" s="9"/>
      <c r="D157" s="7"/>
      <c r="E157" s="7"/>
      <c r="I157" s="13"/>
      <c r="J157" s="13"/>
      <c r="P157" s="14"/>
      <c r="Q157" s="11"/>
      <c r="R157" s="7"/>
      <c r="S157" s="7"/>
      <c r="T157" s="15"/>
      <c r="U157" s="12"/>
      <c r="V157" s="7"/>
      <c r="W157" s="7"/>
      <c r="X157" s="7"/>
      <c r="Y157" s="7"/>
      <c r="Z157" s="7"/>
      <c r="AA157" s="7"/>
      <c r="AB157" s="7"/>
      <c r="AC157" s="7"/>
      <c r="AD157" s="7"/>
      <c r="AE157" s="7"/>
    </row>
    <row r="158" spans="2:31">
      <c r="B158" s="9"/>
      <c r="C158" s="16" t="s">
        <v>43</v>
      </c>
      <c r="D158" s="7"/>
      <c r="E158" s="7"/>
      <c r="F158" s="17" t="s">
        <v>44</v>
      </c>
      <c r="G158" s="16" t="s">
        <v>45</v>
      </c>
      <c r="H158" s="18"/>
      <c r="I158" s="18"/>
      <c r="J158" s="17" t="s">
        <v>44</v>
      </c>
      <c r="K158" s="16" t="s">
        <v>46</v>
      </c>
      <c r="L158" s="18"/>
      <c r="M158" s="18"/>
      <c r="N158" s="17" t="s">
        <v>44</v>
      </c>
      <c r="P158" s="19" t="s">
        <v>47</v>
      </c>
      <c r="Q158" s="11"/>
      <c r="R158" s="7"/>
      <c r="S158" s="7"/>
      <c r="T158" s="17" t="s">
        <v>48</v>
      </c>
      <c r="U158" s="17" t="s">
        <v>49</v>
      </c>
      <c r="V158" s="17" t="s">
        <v>50</v>
      </c>
      <c r="W158" s="7"/>
      <c r="X158" s="17" t="s">
        <v>48</v>
      </c>
      <c r="Y158" s="17" t="s">
        <v>49</v>
      </c>
      <c r="Z158" s="17" t="s">
        <v>50</v>
      </c>
      <c r="AA158" s="17"/>
      <c r="AB158" s="17" t="s">
        <v>48</v>
      </c>
      <c r="AC158" s="17" t="s">
        <v>49</v>
      </c>
      <c r="AD158" s="17" t="s">
        <v>50</v>
      </c>
      <c r="AE158" s="17" t="s">
        <v>38</v>
      </c>
    </row>
    <row r="159" spans="2:31">
      <c r="B159" s="20" t="s">
        <v>28</v>
      </c>
      <c r="C159" s="362"/>
      <c r="D159" s="363"/>
      <c r="E159" s="364"/>
      <c r="F159" s="44"/>
      <c r="G159" s="362"/>
      <c r="H159" s="363"/>
      <c r="I159" s="364"/>
      <c r="J159" s="44"/>
      <c r="K159" s="362"/>
      <c r="L159" s="363"/>
      <c r="M159" s="364"/>
      <c r="N159" s="44"/>
      <c r="P159" s="47"/>
      <c r="Q159" s="21"/>
      <c r="R159" s="7"/>
      <c r="S159" s="7"/>
      <c r="T159" s="22">
        <f>IF(F159&gt;0,$P159/1000/F159,0)</f>
        <v>0</v>
      </c>
      <c r="U159" s="22">
        <f t="shared" ref="U159:U166" si="86">IF(J159&gt;0,$P159/1000/J159,$T159)</f>
        <v>0</v>
      </c>
      <c r="V159" s="22">
        <f t="shared" ref="V159:V166" si="87">IF(N159&gt;0,$P159/1000/N159,$T159)</f>
        <v>0</v>
      </c>
      <c r="W159" s="7"/>
      <c r="X159" s="22">
        <f>F159</f>
        <v>0</v>
      </c>
      <c r="Y159" s="22">
        <f>IF(J159&gt;0,J159,$X159)</f>
        <v>0</v>
      </c>
      <c r="Z159" s="22">
        <f>IF(N159&gt;0,N159,$X159)</f>
        <v>0</v>
      </c>
      <c r="AA159" s="7"/>
      <c r="AB159" s="23">
        <f>T168</f>
        <v>1</v>
      </c>
      <c r="AC159" s="23">
        <f>U168</f>
        <v>0</v>
      </c>
      <c r="AD159" s="23">
        <f>V168</f>
        <v>0</v>
      </c>
      <c r="AE159" s="22">
        <f>IF(X159&lt;&gt;0,P159/1000/SUMPRODUCT(AB159:AD159,X159:Z159),0)</f>
        <v>0</v>
      </c>
    </row>
    <row r="160" spans="2:31">
      <c r="B160" s="20" t="s">
        <v>29</v>
      </c>
      <c r="C160" s="362"/>
      <c r="D160" s="363"/>
      <c r="E160" s="364"/>
      <c r="F160" s="44"/>
      <c r="G160" s="362"/>
      <c r="H160" s="363"/>
      <c r="I160" s="364"/>
      <c r="J160" s="44"/>
      <c r="K160" s="362"/>
      <c r="L160" s="363"/>
      <c r="M160" s="364"/>
      <c r="N160" s="44"/>
      <c r="P160" s="47"/>
      <c r="Q160" s="21"/>
      <c r="R160" s="7"/>
      <c r="S160" s="7"/>
      <c r="T160" s="22">
        <f t="shared" ref="T160:T166" si="88">IF(F160&gt;0,$P160/1000/F160,0)</f>
        <v>0</v>
      </c>
      <c r="U160" s="22">
        <f t="shared" si="86"/>
        <v>0</v>
      </c>
      <c r="V160" s="22">
        <f t="shared" si="87"/>
        <v>0</v>
      </c>
      <c r="W160" s="7"/>
      <c r="X160" s="22">
        <f t="shared" ref="X160:X166" si="89">F160</f>
        <v>0</v>
      </c>
      <c r="Y160" s="22">
        <f t="shared" ref="Y160:Y166" si="90">IF(J160&gt;0,J160,$X160)</f>
        <v>0</v>
      </c>
      <c r="Z160" s="22">
        <f t="shared" ref="Z160:Z166" si="91">IF(N160&gt;0,N160,$X160)</f>
        <v>0</v>
      </c>
      <c r="AA160" s="7"/>
      <c r="AB160" s="23">
        <f t="shared" ref="AB160:AD160" si="92">AB159</f>
        <v>1</v>
      </c>
      <c r="AC160" s="23">
        <f t="shared" si="92"/>
        <v>0</v>
      </c>
      <c r="AD160" s="23">
        <f t="shared" si="92"/>
        <v>0</v>
      </c>
      <c r="AE160" s="22">
        <f t="shared" ref="AE160:AE166" si="93">IF(X160&lt;&gt;0,P160/1000/SUMPRODUCT(AB160:AD160,X160:Z160),0)</f>
        <v>0</v>
      </c>
    </row>
    <row r="161" spans="2:31">
      <c r="B161" s="20" t="s">
        <v>30</v>
      </c>
      <c r="C161" s="362"/>
      <c r="D161" s="363"/>
      <c r="E161" s="364"/>
      <c r="F161" s="44"/>
      <c r="G161" s="362"/>
      <c r="H161" s="363"/>
      <c r="I161" s="364"/>
      <c r="J161" s="44"/>
      <c r="K161" s="362"/>
      <c r="L161" s="363"/>
      <c r="M161" s="364"/>
      <c r="N161" s="44"/>
      <c r="P161" s="47"/>
      <c r="Q161" s="21"/>
      <c r="R161" s="7"/>
      <c r="S161" s="7"/>
      <c r="T161" s="22">
        <f t="shared" si="88"/>
        <v>0</v>
      </c>
      <c r="U161" s="22">
        <f t="shared" si="86"/>
        <v>0</v>
      </c>
      <c r="V161" s="22">
        <f t="shared" si="87"/>
        <v>0</v>
      </c>
      <c r="W161" s="7"/>
      <c r="X161" s="22">
        <f t="shared" si="89"/>
        <v>0</v>
      </c>
      <c r="Y161" s="22">
        <f t="shared" si="90"/>
        <v>0</v>
      </c>
      <c r="Z161" s="22">
        <f t="shared" si="91"/>
        <v>0</v>
      </c>
      <c r="AA161" s="7"/>
      <c r="AB161" s="23">
        <f t="shared" ref="AB161:AD161" si="94">AB160</f>
        <v>1</v>
      </c>
      <c r="AC161" s="23">
        <f t="shared" si="94"/>
        <v>0</v>
      </c>
      <c r="AD161" s="23">
        <f t="shared" si="94"/>
        <v>0</v>
      </c>
      <c r="AE161" s="22">
        <f t="shared" si="93"/>
        <v>0</v>
      </c>
    </row>
    <row r="162" spans="2:31">
      <c r="B162" s="20" t="s">
        <v>31</v>
      </c>
      <c r="C162" s="362"/>
      <c r="D162" s="363"/>
      <c r="E162" s="364"/>
      <c r="F162" s="44"/>
      <c r="G162" s="362"/>
      <c r="H162" s="363"/>
      <c r="I162" s="364"/>
      <c r="J162" s="44"/>
      <c r="K162" s="362"/>
      <c r="L162" s="363"/>
      <c r="M162" s="364"/>
      <c r="N162" s="44"/>
      <c r="P162" s="47"/>
      <c r="Q162" s="21"/>
      <c r="R162" s="7"/>
      <c r="S162" s="7"/>
      <c r="T162" s="22">
        <f t="shared" si="88"/>
        <v>0</v>
      </c>
      <c r="U162" s="22">
        <f t="shared" si="86"/>
        <v>0</v>
      </c>
      <c r="V162" s="22">
        <f t="shared" si="87"/>
        <v>0</v>
      </c>
      <c r="W162" s="7"/>
      <c r="X162" s="22">
        <f t="shared" si="89"/>
        <v>0</v>
      </c>
      <c r="Y162" s="22">
        <f t="shared" si="90"/>
        <v>0</v>
      </c>
      <c r="Z162" s="22">
        <f t="shared" si="91"/>
        <v>0</v>
      </c>
      <c r="AA162" s="7"/>
      <c r="AB162" s="23">
        <f>AB161</f>
        <v>1</v>
      </c>
      <c r="AC162" s="23">
        <f>AC161</f>
        <v>0</v>
      </c>
      <c r="AD162" s="23">
        <f>AD161</f>
        <v>0</v>
      </c>
      <c r="AE162" s="22">
        <f t="shared" si="93"/>
        <v>0</v>
      </c>
    </row>
    <row r="163" spans="2:31">
      <c r="B163" s="20" t="s">
        <v>32</v>
      </c>
      <c r="C163" s="362"/>
      <c r="D163" s="363"/>
      <c r="E163" s="364"/>
      <c r="F163" s="44"/>
      <c r="G163" s="362"/>
      <c r="H163" s="363"/>
      <c r="I163" s="364"/>
      <c r="J163" s="44"/>
      <c r="K163" s="362"/>
      <c r="L163" s="363"/>
      <c r="M163" s="364"/>
      <c r="N163" s="44"/>
      <c r="P163" s="47"/>
      <c r="Q163" s="21"/>
      <c r="R163" s="7"/>
      <c r="S163" s="7"/>
      <c r="T163" s="22">
        <f t="shared" si="88"/>
        <v>0</v>
      </c>
      <c r="U163" s="22">
        <f t="shared" si="86"/>
        <v>0</v>
      </c>
      <c r="V163" s="22">
        <f t="shared" si="87"/>
        <v>0</v>
      </c>
      <c r="W163" s="7"/>
      <c r="X163" s="22">
        <f t="shared" si="89"/>
        <v>0</v>
      </c>
      <c r="Y163" s="22">
        <f t="shared" si="90"/>
        <v>0</v>
      </c>
      <c r="Z163" s="22">
        <f t="shared" si="91"/>
        <v>0</v>
      </c>
      <c r="AA163" s="7"/>
      <c r="AB163" s="23">
        <f t="shared" ref="AB163:AD163" si="95">AB162</f>
        <v>1</v>
      </c>
      <c r="AC163" s="23">
        <f t="shared" si="95"/>
        <v>0</v>
      </c>
      <c r="AD163" s="23">
        <f t="shared" si="95"/>
        <v>0</v>
      </c>
      <c r="AE163" s="22">
        <f t="shared" si="93"/>
        <v>0</v>
      </c>
    </row>
    <row r="164" spans="2:31">
      <c r="B164" s="20" t="s">
        <v>51</v>
      </c>
      <c r="C164" s="362"/>
      <c r="D164" s="363"/>
      <c r="E164" s="364"/>
      <c r="F164" s="44"/>
      <c r="G164" s="362"/>
      <c r="H164" s="363"/>
      <c r="I164" s="364"/>
      <c r="J164" s="44"/>
      <c r="K164" s="362"/>
      <c r="L164" s="363"/>
      <c r="M164" s="364"/>
      <c r="N164" s="44"/>
      <c r="P164" s="47"/>
      <c r="Q164" s="21"/>
      <c r="R164" s="7"/>
      <c r="S164" s="7"/>
      <c r="T164" s="22">
        <f t="shared" si="88"/>
        <v>0</v>
      </c>
      <c r="U164" s="22">
        <f t="shared" si="86"/>
        <v>0</v>
      </c>
      <c r="V164" s="22">
        <f t="shared" si="87"/>
        <v>0</v>
      </c>
      <c r="W164" s="7"/>
      <c r="X164" s="22">
        <f t="shared" si="89"/>
        <v>0</v>
      </c>
      <c r="Y164" s="22">
        <f t="shared" si="90"/>
        <v>0</v>
      </c>
      <c r="Z164" s="22">
        <f t="shared" si="91"/>
        <v>0</v>
      </c>
      <c r="AA164" s="7"/>
      <c r="AB164" s="23">
        <f t="shared" ref="AB164:AD164" si="96">AB163</f>
        <v>1</v>
      </c>
      <c r="AC164" s="23">
        <f t="shared" si="96"/>
        <v>0</v>
      </c>
      <c r="AD164" s="23">
        <f t="shared" si="96"/>
        <v>0</v>
      </c>
      <c r="AE164" s="22">
        <f t="shared" si="93"/>
        <v>0</v>
      </c>
    </row>
    <row r="165" spans="2:31">
      <c r="B165" s="20" t="s">
        <v>52</v>
      </c>
      <c r="C165" s="362"/>
      <c r="D165" s="363"/>
      <c r="E165" s="364"/>
      <c r="F165" s="44"/>
      <c r="G165" s="362"/>
      <c r="H165" s="363"/>
      <c r="I165" s="364"/>
      <c r="J165" s="44"/>
      <c r="K165" s="362"/>
      <c r="L165" s="363"/>
      <c r="M165" s="364"/>
      <c r="N165" s="44"/>
      <c r="P165" s="47"/>
      <c r="Q165" s="21"/>
      <c r="R165" s="7"/>
      <c r="S165" s="7"/>
      <c r="T165" s="22">
        <f t="shared" si="88"/>
        <v>0</v>
      </c>
      <c r="U165" s="22">
        <f t="shared" si="86"/>
        <v>0</v>
      </c>
      <c r="V165" s="22">
        <f t="shared" si="87"/>
        <v>0</v>
      </c>
      <c r="W165" s="7"/>
      <c r="X165" s="22">
        <f t="shared" si="89"/>
        <v>0</v>
      </c>
      <c r="Y165" s="22">
        <f t="shared" si="90"/>
        <v>0</v>
      </c>
      <c r="Z165" s="22">
        <f t="shared" si="91"/>
        <v>0</v>
      </c>
      <c r="AA165" s="7"/>
      <c r="AB165" s="23">
        <f t="shared" ref="AB165:AD165" si="97">AB164</f>
        <v>1</v>
      </c>
      <c r="AC165" s="23">
        <f t="shared" si="97"/>
        <v>0</v>
      </c>
      <c r="AD165" s="23">
        <f t="shared" si="97"/>
        <v>0</v>
      </c>
      <c r="AE165" s="22">
        <f t="shared" si="93"/>
        <v>0</v>
      </c>
    </row>
    <row r="166" spans="2:31">
      <c r="B166" s="20" t="s">
        <v>53</v>
      </c>
      <c r="C166" s="362"/>
      <c r="D166" s="363"/>
      <c r="E166" s="364"/>
      <c r="F166" s="44"/>
      <c r="G166" s="362"/>
      <c r="H166" s="363"/>
      <c r="I166" s="364"/>
      <c r="J166" s="44"/>
      <c r="K166" s="362"/>
      <c r="L166" s="363"/>
      <c r="M166" s="364"/>
      <c r="N166" s="44"/>
      <c r="P166" s="47"/>
      <c r="Q166" s="21"/>
      <c r="R166" s="7"/>
      <c r="S166" s="7"/>
      <c r="T166" s="22">
        <f t="shared" si="88"/>
        <v>0</v>
      </c>
      <c r="U166" s="22">
        <f t="shared" si="86"/>
        <v>0</v>
      </c>
      <c r="V166" s="22">
        <f t="shared" si="87"/>
        <v>0</v>
      </c>
      <c r="W166" s="7"/>
      <c r="X166" s="22">
        <f t="shared" si="89"/>
        <v>0</v>
      </c>
      <c r="Y166" s="22">
        <f t="shared" si="90"/>
        <v>0</v>
      </c>
      <c r="Z166" s="22">
        <f t="shared" si="91"/>
        <v>0</v>
      </c>
      <c r="AA166" s="7"/>
      <c r="AB166" s="23">
        <f t="shared" ref="AB166:AD166" si="98">AB165</f>
        <v>1</v>
      </c>
      <c r="AC166" s="23">
        <f t="shared" si="98"/>
        <v>0</v>
      </c>
      <c r="AD166" s="23">
        <f t="shared" si="98"/>
        <v>0</v>
      </c>
      <c r="AE166" s="22">
        <f t="shared" si="93"/>
        <v>0</v>
      </c>
    </row>
    <row r="167" spans="2:31">
      <c r="B167" s="9"/>
      <c r="C167" s="24"/>
      <c r="D167" s="7"/>
      <c r="E167" s="7"/>
      <c r="F167" s="25" t="s">
        <v>54</v>
      </c>
      <c r="J167" s="25" t="s">
        <v>55</v>
      </c>
      <c r="M167" s="7"/>
      <c r="N167" s="25" t="s">
        <v>56</v>
      </c>
      <c r="P167" s="19" t="s">
        <v>4</v>
      </c>
      <c r="Q167" s="21"/>
      <c r="R167" s="7"/>
      <c r="S167" s="26" t="s">
        <v>57</v>
      </c>
      <c r="T167" s="22">
        <f>IF(ISNUMBER($F159),1/($H155+SUM(T159:T166)+$H156),0)</f>
        <v>0</v>
      </c>
      <c r="U167" s="22">
        <f>IF(ISNUMBER($F159),1/($H155+SUM(U159:U166)+$H156),0)</f>
        <v>0</v>
      </c>
      <c r="V167" s="22">
        <f>IF(ISNUMBER($F159),1/($H155+SUM(V159:V166)+$H156),0)</f>
        <v>0</v>
      </c>
      <c r="W167" s="7"/>
      <c r="X167" s="7"/>
      <c r="Y167" s="7"/>
      <c r="Z167" s="7"/>
      <c r="AA167" s="7"/>
      <c r="AB167" s="7"/>
      <c r="AC167" s="7"/>
      <c r="AD167" s="7"/>
      <c r="AE167" s="22"/>
    </row>
    <row r="168" spans="2:31" ht="18.75">
      <c r="B168" s="9"/>
      <c r="C168" s="24"/>
      <c r="D168" s="24"/>
      <c r="E168" s="24"/>
      <c r="F168" s="27">
        <f>MAX(0,1-J168-N168)</f>
        <v>1</v>
      </c>
      <c r="G168" s="24"/>
      <c r="H168" s="24"/>
      <c r="I168" s="24"/>
      <c r="J168" s="50"/>
      <c r="K168" s="14"/>
      <c r="L168" s="24"/>
      <c r="M168" s="24"/>
      <c r="N168" s="50"/>
      <c r="O168" s="14"/>
      <c r="P168" s="38" t="str">
        <f>IF(ISNUMBER(P159),SUM(P159:P167)/10,"")</f>
        <v/>
      </c>
      <c r="Q168" s="28" t="s">
        <v>58</v>
      </c>
      <c r="R168" s="7"/>
      <c r="S168" s="26" t="s">
        <v>59</v>
      </c>
      <c r="T168" s="49">
        <f>1-SUM(U168:V168)</f>
        <v>1</v>
      </c>
      <c r="U168" s="49">
        <f>J168</f>
        <v>0</v>
      </c>
      <c r="V168" s="49">
        <f>N168</f>
        <v>0</v>
      </c>
      <c r="W168" s="26"/>
      <c r="X168" s="7"/>
      <c r="Y168" s="7"/>
      <c r="Z168" s="7"/>
      <c r="AA168" s="7"/>
      <c r="AB168" s="7"/>
      <c r="AC168" s="7"/>
      <c r="AD168" s="7"/>
      <c r="AE168" s="22"/>
    </row>
    <row r="169" spans="2:31">
      <c r="B169" s="9"/>
      <c r="C169" s="39" t="str">
        <f>IF(J168+N168&gt;1,"Součet dílčích ploch je vyšší než 100 %!","")</f>
        <v/>
      </c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14"/>
      <c r="P169" s="7"/>
      <c r="Q169" s="21"/>
      <c r="R169" s="7"/>
      <c r="S169" s="23"/>
      <c r="T169" s="22"/>
      <c r="U169" s="22"/>
      <c r="V169" s="22"/>
      <c r="W169" s="7"/>
      <c r="X169" s="7"/>
      <c r="Y169" s="7"/>
      <c r="Z169" s="7"/>
      <c r="AA169" s="7"/>
      <c r="AB169" s="7"/>
      <c r="AC169" s="7"/>
      <c r="AD169" s="7"/>
      <c r="AE169" s="22"/>
    </row>
    <row r="170" spans="2:31" ht="18.75">
      <c r="B170" s="9"/>
      <c r="D170" s="7"/>
      <c r="E170" s="18" t="s">
        <v>60</v>
      </c>
      <c r="F170" s="45"/>
      <c r="G170" s="24" t="s">
        <v>61</v>
      </c>
      <c r="H170" s="7"/>
      <c r="I170" s="7"/>
      <c r="J170" s="7"/>
      <c r="K170" s="29" t="s">
        <v>62</v>
      </c>
      <c r="L170" s="40" t="str">
        <f>IF(ISNUMBER(F159),IF(T171&lt;0.1,1/T170,1/(AE170*1.1))+F170,"")</f>
        <v/>
      </c>
      <c r="M170" s="41"/>
      <c r="N170" s="24" t="s">
        <v>61</v>
      </c>
      <c r="O170" s="7"/>
      <c r="P170" s="7"/>
      <c r="Q170" s="21"/>
      <c r="R170" s="7"/>
      <c r="S170" s="23" t="s">
        <v>63</v>
      </c>
      <c r="T170" s="22">
        <f>IF(ISNUMBER(F159),AVERAGE(V170,AE170),0)</f>
        <v>0</v>
      </c>
      <c r="U170" s="23" t="s">
        <v>64</v>
      </c>
      <c r="V170" s="22">
        <f>IF(ISNUMBER(F159),1/SUMPRODUCT(T168:V168,T167:V167),0)</f>
        <v>0</v>
      </c>
      <c r="W170" s="7"/>
      <c r="X170" s="7"/>
      <c r="Y170" s="7"/>
      <c r="Z170" s="7"/>
      <c r="AA170" s="30"/>
      <c r="AB170" s="30"/>
      <c r="AC170" s="7"/>
      <c r="AD170" s="23" t="s">
        <v>65</v>
      </c>
      <c r="AE170" s="22">
        <f>$H155+SUM(AE159:AE166)+$H156</f>
        <v>0</v>
      </c>
    </row>
    <row r="171" spans="2:31">
      <c r="B171" s="31"/>
      <c r="C171" s="42" t="str">
        <f>IF(T171&lt;=0.1,"","Chyba výpočtu hodnoty U asi převyšuje 10 %. Spočítat tepelné mosty?")</f>
        <v/>
      </c>
      <c r="D171" s="32"/>
      <c r="E171" s="32"/>
      <c r="F171" s="33"/>
      <c r="G171" s="32"/>
      <c r="H171" s="32"/>
      <c r="I171" s="32"/>
      <c r="J171" s="32"/>
      <c r="K171" s="32"/>
      <c r="L171" s="32"/>
      <c r="M171" s="32"/>
      <c r="N171" s="32"/>
      <c r="O171" s="32"/>
      <c r="P171" s="34"/>
      <c r="Q171" s="35"/>
      <c r="R171" s="7"/>
      <c r="S171" s="23" t="s">
        <v>66</v>
      </c>
      <c r="T171" s="36">
        <f>IF(ISNUMBER(F159),(V170-AE170)/(2*T170),0)</f>
        <v>0</v>
      </c>
      <c r="U171" s="37"/>
      <c r="V171" s="7"/>
      <c r="W171" s="23"/>
      <c r="X171" s="7"/>
      <c r="Y171" s="7"/>
      <c r="Z171" s="7"/>
      <c r="AA171" s="7"/>
      <c r="AB171" s="7"/>
      <c r="AC171" s="7"/>
      <c r="AD171" s="7"/>
    </row>
    <row r="172" spans="2:31"/>
    <row r="173" spans="2:31">
      <c r="B173" s="2"/>
      <c r="C173" s="3" t="s">
        <v>35</v>
      </c>
      <c r="D173" s="4" t="s">
        <v>36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6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</row>
    <row r="174" spans="2:31" ht="15.75">
      <c r="B174" s="9"/>
      <c r="C174" s="48"/>
      <c r="D174" s="46"/>
      <c r="E174" s="43"/>
      <c r="F174" s="43"/>
      <c r="G174" s="43"/>
      <c r="H174" s="43"/>
      <c r="I174" s="43"/>
      <c r="J174" s="43"/>
      <c r="K174" s="43"/>
      <c r="L174" s="43"/>
      <c r="M174" s="43"/>
      <c r="N174" s="151" t="str">
        <f>L191</f>
        <v/>
      </c>
      <c r="O174" s="10"/>
      <c r="P174" s="10"/>
      <c r="Q174" s="11"/>
      <c r="R174" s="7"/>
      <c r="S174" s="7"/>
      <c r="T174" s="12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spans="2:31">
      <c r="B175" s="9"/>
      <c r="Q175" s="11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spans="2:31">
      <c r="B176" s="9"/>
      <c r="D176" s="7"/>
      <c r="E176" s="7"/>
      <c r="G176" s="13" t="s">
        <v>37</v>
      </c>
      <c r="H176" s="45"/>
      <c r="Q176" s="11"/>
      <c r="R176" s="7"/>
      <c r="S176" s="7"/>
      <c r="T176" s="7" t="s">
        <v>38</v>
      </c>
      <c r="U176" s="7"/>
      <c r="V176" s="7"/>
      <c r="W176" s="7"/>
      <c r="X176" s="7" t="s">
        <v>39</v>
      </c>
      <c r="Y176" s="7"/>
      <c r="Z176" s="7"/>
      <c r="AA176" s="7"/>
      <c r="AB176" s="7"/>
      <c r="AC176" s="7"/>
      <c r="AD176" s="7"/>
    </row>
    <row r="177" spans="2:31">
      <c r="B177" s="9"/>
      <c r="D177" s="7"/>
      <c r="E177" s="7"/>
      <c r="G177" s="13" t="s">
        <v>40</v>
      </c>
      <c r="H177" s="45"/>
      <c r="Q177" s="11"/>
      <c r="R177" s="7"/>
      <c r="U177" s="8" t="s">
        <v>41</v>
      </c>
      <c r="Y177" s="8" t="s">
        <v>42</v>
      </c>
    </row>
    <row r="178" spans="2:31" ht="15.75">
      <c r="B178" s="9"/>
      <c r="D178" s="7"/>
      <c r="E178" s="7"/>
      <c r="I178" s="13"/>
      <c r="J178" s="13"/>
      <c r="P178" s="14"/>
      <c r="Q178" s="11"/>
      <c r="R178" s="7"/>
      <c r="S178" s="7"/>
      <c r="T178" s="15"/>
      <c r="U178" s="12"/>
      <c r="V178" s="7"/>
      <c r="W178" s="7"/>
      <c r="X178" s="7"/>
      <c r="Y178" s="7"/>
      <c r="Z178" s="7"/>
      <c r="AA178" s="7"/>
      <c r="AB178" s="7"/>
      <c r="AC178" s="7"/>
      <c r="AD178" s="7"/>
      <c r="AE178" s="7"/>
    </row>
    <row r="179" spans="2:31">
      <c r="B179" s="9"/>
      <c r="C179" s="16" t="s">
        <v>43</v>
      </c>
      <c r="D179" s="7"/>
      <c r="E179" s="7"/>
      <c r="F179" s="17" t="s">
        <v>44</v>
      </c>
      <c r="G179" s="16" t="s">
        <v>45</v>
      </c>
      <c r="H179" s="18"/>
      <c r="I179" s="18"/>
      <c r="J179" s="17" t="s">
        <v>44</v>
      </c>
      <c r="K179" s="16" t="s">
        <v>46</v>
      </c>
      <c r="L179" s="18"/>
      <c r="M179" s="18"/>
      <c r="N179" s="17" t="s">
        <v>44</v>
      </c>
      <c r="P179" s="19" t="s">
        <v>47</v>
      </c>
      <c r="Q179" s="11"/>
      <c r="R179" s="7"/>
      <c r="S179" s="7"/>
      <c r="T179" s="17" t="s">
        <v>48</v>
      </c>
      <c r="U179" s="17" t="s">
        <v>49</v>
      </c>
      <c r="V179" s="17" t="s">
        <v>50</v>
      </c>
      <c r="W179" s="7"/>
      <c r="X179" s="17" t="s">
        <v>48</v>
      </c>
      <c r="Y179" s="17" t="s">
        <v>49</v>
      </c>
      <c r="Z179" s="17" t="s">
        <v>50</v>
      </c>
      <c r="AA179" s="17"/>
      <c r="AB179" s="17" t="s">
        <v>48</v>
      </c>
      <c r="AC179" s="17" t="s">
        <v>49</v>
      </c>
      <c r="AD179" s="17" t="s">
        <v>50</v>
      </c>
      <c r="AE179" s="17" t="s">
        <v>38</v>
      </c>
    </row>
    <row r="180" spans="2:31">
      <c r="B180" s="20" t="s">
        <v>28</v>
      </c>
      <c r="C180" s="362"/>
      <c r="D180" s="363"/>
      <c r="E180" s="364"/>
      <c r="F180" s="44"/>
      <c r="G180" s="362"/>
      <c r="H180" s="363"/>
      <c r="I180" s="364"/>
      <c r="J180" s="44"/>
      <c r="K180" s="362"/>
      <c r="L180" s="363"/>
      <c r="M180" s="364"/>
      <c r="N180" s="44"/>
      <c r="P180" s="47"/>
      <c r="Q180" s="21"/>
      <c r="R180" s="7"/>
      <c r="S180" s="7"/>
      <c r="T180" s="22">
        <f>IF(F180&gt;0,$P180/1000/F180,0)</f>
        <v>0</v>
      </c>
      <c r="U180" s="22">
        <f t="shared" ref="U180:U187" si="99">IF(J180&gt;0,$P180/1000/J180,$T180)</f>
        <v>0</v>
      </c>
      <c r="V180" s="22">
        <f t="shared" ref="V180:V187" si="100">IF(N180&gt;0,$P180/1000/N180,$T180)</f>
        <v>0</v>
      </c>
      <c r="W180" s="7"/>
      <c r="X180" s="22">
        <f>F180</f>
        <v>0</v>
      </c>
      <c r="Y180" s="22">
        <f>IF(J180&gt;0,J180,$X180)</f>
        <v>0</v>
      </c>
      <c r="Z180" s="22">
        <f>IF(N180&gt;0,N180,$X180)</f>
        <v>0</v>
      </c>
      <c r="AA180" s="7"/>
      <c r="AB180" s="23">
        <f>T189</f>
        <v>1</v>
      </c>
      <c r="AC180" s="23">
        <f>U189</f>
        <v>0</v>
      </c>
      <c r="AD180" s="23">
        <f>V189</f>
        <v>0</v>
      </c>
      <c r="AE180" s="22">
        <f>IF(X180&lt;&gt;0,P180/1000/SUMPRODUCT(AB180:AD180,X180:Z180),0)</f>
        <v>0</v>
      </c>
    </row>
    <row r="181" spans="2:31">
      <c r="B181" s="20" t="s">
        <v>29</v>
      </c>
      <c r="C181" s="362"/>
      <c r="D181" s="363"/>
      <c r="E181" s="364"/>
      <c r="F181" s="44"/>
      <c r="G181" s="362"/>
      <c r="H181" s="363"/>
      <c r="I181" s="364"/>
      <c r="J181" s="44"/>
      <c r="K181" s="362"/>
      <c r="L181" s="363"/>
      <c r="M181" s="364"/>
      <c r="N181" s="44"/>
      <c r="P181" s="47"/>
      <c r="Q181" s="21"/>
      <c r="R181" s="7"/>
      <c r="S181" s="7"/>
      <c r="T181" s="22">
        <f t="shared" ref="T181:T187" si="101">IF(F181&gt;0,$P181/1000/F181,0)</f>
        <v>0</v>
      </c>
      <c r="U181" s="22">
        <f t="shared" si="99"/>
        <v>0</v>
      </c>
      <c r="V181" s="22">
        <f t="shared" si="100"/>
        <v>0</v>
      </c>
      <c r="W181" s="7"/>
      <c r="X181" s="22">
        <f t="shared" ref="X181:X187" si="102">F181</f>
        <v>0</v>
      </c>
      <c r="Y181" s="22">
        <f t="shared" ref="Y181:Y187" si="103">IF(J181&gt;0,J181,$X181)</f>
        <v>0</v>
      </c>
      <c r="Z181" s="22">
        <f t="shared" ref="Z181:Z187" si="104">IF(N181&gt;0,N181,$X181)</f>
        <v>0</v>
      </c>
      <c r="AA181" s="7"/>
      <c r="AB181" s="23">
        <f t="shared" ref="AB181:AD181" si="105">AB180</f>
        <v>1</v>
      </c>
      <c r="AC181" s="23">
        <f t="shared" si="105"/>
        <v>0</v>
      </c>
      <c r="AD181" s="23">
        <f t="shared" si="105"/>
        <v>0</v>
      </c>
      <c r="AE181" s="22">
        <f t="shared" ref="AE181:AE187" si="106">IF(X181&lt;&gt;0,P181/1000/SUMPRODUCT(AB181:AD181,X181:Z181),0)</f>
        <v>0</v>
      </c>
    </row>
    <row r="182" spans="2:31">
      <c r="B182" s="20" t="s">
        <v>30</v>
      </c>
      <c r="C182" s="362"/>
      <c r="D182" s="363"/>
      <c r="E182" s="364"/>
      <c r="F182" s="44"/>
      <c r="G182" s="362"/>
      <c r="H182" s="363"/>
      <c r="I182" s="364"/>
      <c r="J182" s="44"/>
      <c r="K182" s="362"/>
      <c r="L182" s="363"/>
      <c r="M182" s="364"/>
      <c r="N182" s="44"/>
      <c r="P182" s="47"/>
      <c r="Q182" s="21"/>
      <c r="R182" s="7"/>
      <c r="S182" s="7"/>
      <c r="T182" s="22">
        <f t="shared" si="101"/>
        <v>0</v>
      </c>
      <c r="U182" s="22">
        <f t="shared" si="99"/>
        <v>0</v>
      </c>
      <c r="V182" s="22">
        <f t="shared" si="100"/>
        <v>0</v>
      </c>
      <c r="W182" s="7"/>
      <c r="X182" s="22">
        <f t="shared" si="102"/>
        <v>0</v>
      </c>
      <c r="Y182" s="22">
        <f t="shared" si="103"/>
        <v>0</v>
      </c>
      <c r="Z182" s="22">
        <f t="shared" si="104"/>
        <v>0</v>
      </c>
      <c r="AA182" s="7"/>
      <c r="AB182" s="23">
        <f t="shared" ref="AB182:AD182" si="107">AB181</f>
        <v>1</v>
      </c>
      <c r="AC182" s="23">
        <f t="shared" si="107"/>
        <v>0</v>
      </c>
      <c r="AD182" s="23">
        <f t="shared" si="107"/>
        <v>0</v>
      </c>
      <c r="AE182" s="22">
        <f t="shared" si="106"/>
        <v>0</v>
      </c>
    </row>
    <row r="183" spans="2:31">
      <c r="B183" s="20" t="s">
        <v>31</v>
      </c>
      <c r="C183" s="362"/>
      <c r="D183" s="363"/>
      <c r="E183" s="364"/>
      <c r="F183" s="44"/>
      <c r="G183" s="362"/>
      <c r="H183" s="363"/>
      <c r="I183" s="364"/>
      <c r="J183" s="44"/>
      <c r="K183" s="362"/>
      <c r="L183" s="363"/>
      <c r="M183" s="364"/>
      <c r="N183" s="44"/>
      <c r="P183" s="47"/>
      <c r="Q183" s="21"/>
      <c r="R183" s="7"/>
      <c r="S183" s="7"/>
      <c r="T183" s="22">
        <f t="shared" si="101"/>
        <v>0</v>
      </c>
      <c r="U183" s="22">
        <f t="shared" si="99"/>
        <v>0</v>
      </c>
      <c r="V183" s="22">
        <f t="shared" si="100"/>
        <v>0</v>
      </c>
      <c r="W183" s="7"/>
      <c r="X183" s="22">
        <f t="shared" si="102"/>
        <v>0</v>
      </c>
      <c r="Y183" s="22">
        <f t="shared" si="103"/>
        <v>0</v>
      </c>
      <c r="Z183" s="22">
        <f t="shared" si="104"/>
        <v>0</v>
      </c>
      <c r="AA183" s="7"/>
      <c r="AB183" s="23">
        <f>AB182</f>
        <v>1</v>
      </c>
      <c r="AC183" s="23">
        <f>AC182</f>
        <v>0</v>
      </c>
      <c r="AD183" s="23">
        <f>AD182</f>
        <v>0</v>
      </c>
      <c r="AE183" s="22">
        <f t="shared" si="106"/>
        <v>0</v>
      </c>
    </row>
    <row r="184" spans="2:31">
      <c r="B184" s="20" t="s">
        <v>32</v>
      </c>
      <c r="C184" s="362"/>
      <c r="D184" s="363"/>
      <c r="E184" s="364"/>
      <c r="F184" s="44"/>
      <c r="G184" s="362"/>
      <c r="H184" s="363"/>
      <c r="I184" s="364"/>
      <c r="J184" s="44"/>
      <c r="K184" s="362"/>
      <c r="L184" s="363"/>
      <c r="M184" s="364"/>
      <c r="N184" s="44"/>
      <c r="P184" s="47"/>
      <c r="Q184" s="21"/>
      <c r="R184" s="7"/>
      <c r="S184" s="7"/>
      <c r="T184" s="22">
        <f t="shared" si="101"/>
        <v>0</v>
      </c>
      <c r="U184" s="22">
        <f t="shared" si="99"/>
        <v>0</v>
      </c>
      <c r="V184" s="22">
        <f t="shared" si="100"/>
        <v>0</v>
      </c>
      <c r="W184" s="7"/>
      <c r="X184" s="22">
        <f t="shared" si="102"/>
        <v>0</v>
      </c>
      <c r="Y184" s="22">
        <f t="shared" si="103"/>
        <v>0</v>
      </c>
      <c r="Z184" s="22">
        <f t="shared" si="104"/>
        <v>0</v>
      </c>
      <c r="AA184" s="7"/>
      <c r="AB184" s="23">
        <f t="shared" ref="AB184:AD184" si="108">AB183</f>
        <v>1</v>
      </c>
      <c r="AC184" s="23">
        <f t="shared" si="108"/>
        <v>0</v>
      </c>
      <c r="AD184" s="23">
        <f t="shared" si="108"/>
        <v>0</v>
      </c>
      <c r="AE184" s="22">
        <f t="shared" si="106"/>
        <v>0</v>
      </c>
    </row>
    <row r="185" spans="2:31">
      <c r="B185" s="20" t="s">
        <v>51</v>
      </c>
      <c r="C185" s="362"/>
      <c r="D185" s="363"/>
      <c r="E185" s="364"/>
      <c r="F185" s="44"/>
      <c r="G185" s="362"/>
      <c r="H185" s="363"/>
      <c r="I185" s="364"/>
      <c r="J185" s="44"/>
      <c r="K185" s="362"/>
      <c r="L185" s="363"/>
      <c r="M185" s="364"/>
      <c r="N185" s="44"/>
      <c r="P185" s="47"/>
      <c r="Q185" s="21"/>
      <c r="R185" s="7"/>
      <c r="S185" s="7"/>
      <c r="T185" s="22">
        <f t="shared" si="101"/>
        <v>0</v>
      </c>
      <c r="U185" s="22">
        <f t="shared" si="99"/>
        <v>0</v>
      </c>
      <c r="V185" s="22">
        <f t="shared" si="100"/>
        <v>0</v>
      </c>
      <c r="W185" s="7"/>
      <c r="X185" s="22">
        <f t="shared" si="102"/>
        <v>0</v>
      </c>
      <c r="Y185" s="22">
        <f t="shared" si="103"/>
        <v>0</v>
      </c>
      <c r="Z185" s="22">
        <f t="shared" si="104"/>
        <v>0</v>
      </c>
      <c r="AA185" s="7"/>
      <c r="AB185" s="23">
        <f t="shared" ref="AB185:AD185" si="109">AB184</f>
        <v>1</v>
      </c>
      <c r="AC185" s="23">
        <f t="shared" si="109"/>
        <v>0</v>
      </c>
      <c r="AD185" s="23">
        <f t="shared" si="109"/>
        <v>0</v>
      </c>
      <c r="AE185" s="22">
        <f t="shared" si="106"/>
        <v>0</v>
      </c>
    </row>
    <row r="186" spans="2:31">
      <c r="B186" s="20" t="s">
        <v>52</v>
      </c>
      <c r="C186" s="362"/>
      <c r="D186" s="363"/>
      <c r="E186" s="364"/>
      <c r="F186" s="44"/>
      <c r="G186" s="362"/>
      <c r="H186" s="363"/>
      <c r="I186" s="364"/>
      <c r="J186" s="44"/>
      <c r="K186" s="362"/>
      <c r="L186" s="363"/>
      <c r="M186" s="364"/>
      <c r="N186" s="44"/>
      <c r="P186" s="47"/>
      <c r="Q186" s="21"/>
      <c r="R186" s="7"/>
      <c r="S186" s="7"/>
      <c r="T186" s="22">
        <f t="shared" si="101"/>
        <v>0</v>
      </c>
      <c r="U186" s="22">
        <f t="shared" si="99"/>
        <v>0</v>
      </c>
      <c r="V186" s="22">
        <f t="shared" si="100"/>
        <v>0</v>
      </c>
      <c r="W186" s="7"/>
      <c r="X186" s="22">
        <f t="shared" si="102"/>
        <v>0</v>
      </c>
      <c r="Y186" s="22">
        <f t="shared" si="103"/>
        <v>0</v>
      </c>
      <c r="Z186" s="22">
        <f t="shared" si="104"/>
        <v>0</v>
      </c>
      <c r="AA186" s="7"/>
      <c r="AB186" s="23">
        <f t="shared" ref="AB186:AD186" si="110">AB185</f>
        <v>1</v>
      </c>
      <c r="AC186" s="23">
        <f t="shared" si="110"/>
        <v>0</v>
      </c>
      <c r="AD186" s="23">
        <f t="shared" si="110"/>
        <v>0</v>
      </c>
      <c r="AE186" s="22">
        <f t="shared" si="106"/>
        <v>0</v>
      </c>
    </row>
    <row r="187" spans="2:31">
      <c r="B187" s="20" t="s">
        <v>53</v>
      </c>
      <c r="C187" s="362"/>
      <c r="D187" s="363"/>
      <c r="E187" s="364"/>
      <c r="F187" s="44"/>
      <c r="G187" s="362"/>
      <c r="H187" s="363"/>
      <c r="I187" s="364"/>
      <c r="J187" s="44"/>
      <c r="K187" s="362"/>
      <c r="L187" s="363"/>
      <c r="M187" s="364"/>
      <c r="N187" s="44"/>
      <c r="P187" s="47"/>
      <c r="Q187" s="21"/>
      <c r="R187" s="7"/>
      <c r="S187" s="7"/>
      <c r="T187" s="22">
        <f t="shared" si="101"/>
        <v>0</v>
      </c>
      <c r="U187" s="22">
        <f t="shared" si="99"/>
        <v>0</v>
      </c>
      <c r="V187" s="22">
        <f t="shared" si="100"/>
        <v>0</v>
      </c>
      <c r="W187" s="7"/>
      <c r="X187" s="22">
        <f t="shared" si="102"/>
        <v>0</v>
      </c>
      <c r="Y187" s="22">
        <f t="shared" si="103"/>
        <v>0</v>
      </c>
      <c r="Z187" s="22">
        <f t="shared" si="104"/>
        <v>0</v>
      </c>
      <c r="AA187" s="7"/>
      <c r="AB187" s="23">
        <f t="shared" ref="AB187:AD187" si="111">AB186</f>
        <v>1</v>
      </c>
      <c r="AC187" s="23">
        <f t="shared" si="111"/>
        <v>0</v>
      </c>
      <c r="AD187" s="23">
        <f t="shared" si="111"/>
        <v>0</v>
      </c>
      <c r="AE187" s="22">
        <f t="shared" si="106"/>
        <v>0</v>
      </c>
    </row>
    <row r="188" spans="2:31">
      <c r="B188" s="9"/>
      <c r="C188" s="24"/>
      <c r="D188" s="7"/>
      <c r="E188" s="7"/>
      <c r="F188" s="25" t="s">
        <v>54</v>
      </c>
      <c r="J188" s="25" t="s">
        <v>55</v>
      </c>
      <c r="M188" s="7"/>
      <c r="N188" s="25" t="s">
        <v>56</v>
      </c>
      <c r="P188" s="19" t="s">
        <v>4</v>
      </c>
      <c r="Q188" s="21"/>
      <c r="R188" s="7"/>
      <c r="S188" s="26" t="s">
        <v>57</v>
      </c>
      <c r="T188" s="22">
        <f>IF(ISNUMBER($F180),1/($H176+SUM(T180:T187)+$H177),0)</f>
        <v>0</v>
      </c>
      <c r="U188" s="22">
        <f>IF(ISNUMBER($F180),1/($H176+SUM(U180:U187)+$H177),0)</f>
        <v>0</v>
      </c>
      <c r="V188" s="22">
        <f>IF(ISNUMBER($F180),1/($H176+SUM(V180:V187)+$H177),0)</f>
        <v>0</v>
      </c>
      <c r="W188" s="7"/>
      <c r="X188" s="7"/>
      <c r="Y188" s="7"/>
      <c r="Z188" s="7"/>
      <c r="AA188" s="7"/>
      <c r="AB188" s="7"/>
      <c r="AC188" s="7"/>
      <c r="AD188" s="7"/>
      <c r="AE188" s="22"/>
    </row>
    <row r="189" spans="2:31" ht="18.75">
      <c r="B189" s="9"/>
      <c r="C189" s="24"/>
      <c r="D189" s="24"/>
      <c r="E189" s="24"/>
      <c r="F189" s="27">
        <f>MAX(0,1-J189-N189)</f>
        <v>1</v>
      </c>
      <c r="G189" s="24"/>
      <c r="H189" s="24"/>
      <c r="I189" s="24"/>
      <c r="J189" s="50"/>
      <c r="K189" s="14"/>
      <c r="L189" s="24"/>
      <c r="M189" s="24"/>
      <c r="N189" s="50"/>
      <c r="O189" s="14"/>
      <c r="P189" s="38" t="str">
        <f>IF(ISNUMBER(P180),SUM(P180:P188)/10,"")</f>
        <v/>
      </c>
      <c r="Q189" s="28" t="s">
        <v>58</v>
      </c>
      <c r="R189" s="7"/>
      <c r="S189" s="26" t="s">
        <v>59</v>
      </c>
      <c r="T189" s="49">
        <f>1-SUM(U189:V189)</f>
        <v>1</v>
      </c>
      <c r="U189" s="49">
        <f>J189</f>
        <v>0</v>
      </c>
      <c r="V189" s="49">
        <f>N189</f>
        <v>0</v>
      </c>
      <c r="W189" s="26"/>
      <c r="X189" s="7"/>
      <c r="Y189" s="7"/>
      <c r="Z189" s="7"/>
      <c r="AA189" s="7"/>
      <c r="AB189" s="7"/>
      <c r="AC189" s="7"/>
      <c r="AD189" s="7"/>
      <c r="AE189" s="22"/>
    </row>
    <row r="190" spans="2:31">
      <c r="B190" s="9"/>
      <c r="C190" s="39" t="str">
        <f>IF(J189+N189&gt;1,"Součet dílčích ploch je vyšší než 100 %!","")</f>
        <v/>
      </c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14"/>
      <c r="P190" s="7"/>
      <c r="Q190" s="21"/>
      <c r="R190" s="7"/>
      <c r="S190" s="23"/>
      <c r="T190" s="22"/>
      <c r="U190" s="22"/>
      <c r="V190" s="22"/>
      <c r="W190" s="7"/>
      <c r="X190" s="7"/>
      <c r="Y190" s="7"/>
      <c r="Z190" s="7"/>
      <c r="AA190" s="7"/>
      <c r="AB190" s="7"/>
      <c r="AC190" s="7"/>
      <c r="AD190" s="7"/>
      <c r="AE190" s="22"/>
    </row>
    <row r="191" spans="2:31" ht="18.75">
      <c r="B191" s="9"/>
      <c r="D191" s="7"/>
      <c r="E191" s="18" t="s">
        <v>60</v>
      </c>
      <c r="F191" s="45"/>
      <c r="G191" s="24" t="s">
        <v>61</v>
      </c>
      <c r="H191" s="7"/>
      <c r="I191" s="7"/>
      <c r="J191" s="7"/>
      <c r="K191" s="29" t="s">
        <v>62</v>
      </c>
      <c r="L191" s="40" t="str">
        <f>IF(ISNUMBER(F180),IF(T192&lt;0.1,1/T191,1/(AE191*1.1))+F191,"")</f>
        <v/>
      </c>
      <c r="M191" s="41"/>
      <c r="N191" s="24" t="s">
        <v>61</v>
      </c>
      <c r="O191" s="7"/>
      <c r="P191" s="7"/>
      <c r="Q191" s="21"/>
      <c r="R191" s="7"/>
      <c r="S191" s="23" t="s">
        <v>63</v>
      </c>
      <c r="T191" s="22">
        <f>IF(ISNUMBER(F180),AVERAGE(V191,AE191),0)</f>
        <v>0</v>
      </c>
      <c r="U191" s="23" t="s">
        <v>64</v>
      </c>
      <c r="V191" s="22">
        <f>IF(ISNUMBER(F180),1/SUMPRODUCT(T189:V189,T188:V188),0)</f>
        <v>0</v>
      </c>
      <c r="W191" s="7"/>
      <c r="X191" s="7"/>
      <c r="Y191" s="7"/>
      <c r="Z191" s="7"/>
      <c r="AA191" s="30"/>
      <c r="AB191" s="30"/>
      <c r="AC191" s="7"/>
      <c r="AD191" s="23" t="s">
        <v>65</v>
      </c>
      <c r="AE191" s="22">
        <f>$H176+SUM(AE180:AE187)+$H177</f>
        <v>0</v>
      </c>
    </row>
    <row r="192" spans="2:31">
      <c r="B192" s="31"/>
      <c r="C192" s="42" t="str">
        <f>IF(T192&lt;=0.1,"","Chyba výpočtu hodnoty U asi převyšuje 10 %. Spočítat tepelné mosty?")</f>
        <v/>
      </c>
      <c r="D192" s="32"/>
      <c r="E192" s="32"/>
      <c r="F192" s="33"/>
      <c r="G192" s="32"/>
      <c r="H192" s="32"/>
      <c r="I192" s="32"/>
      <c r="J192" s="32"/>
      <c r="K192" s="32"/>
      <c r="L192" s="32"/>
      <c r="M192" s="32"/>
      <c r="N192" s="32"/>
      <c r="O192" s="32"/>
      <c r="P192" s="34"/>
      <c r="Q192" s="35"/>
      <c r="R192" s="7"/>
      <c r="S192" s="23" t="s">
        <v>66</v>
      </c>
      <c r="T192" s="36">
        <f>IF(ISNUMBER(F180),(V191-AE191)/(2*T191),0)</f>
        <v>0</v>
      </c>
      <c r="U192" s="37"/>
      <c r="V192" s="7"/>
      <c r="W192" s="23"/>
      <c r="X192" s="7"/>
      <c r="Y192" s="7"/>
      <c r="Z192" s="7"/>
      <c r="AA192" s="7"/>
      <c r="AB192" s="7"/>
      <c r="AC192" s="7"/>
      <c r="AD192" s="7"/>
    </row>
    <row r="193" spans="2:31"/>
    <row r="194" spans="2:31">
      <c r="B194" s="2"/>
      <c r="C194" s="3" t="s">
        <v>35</v>
      </c>
      <c r="D194" s="4" t="s">
        <v>36</v>
      </c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6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</row>
    <row r="195" spans="2:31" ht="15.75">
      <c r="B195" s="9"/>
      <c r="C195" s="48"/>
      <c r="D195" s="46"/>
      <c r="E195" s="43"/>
      <c r="F195" s="43"/>
      <c r="G195" s="43"/>
      <c r="H195" s="43"/>
      <c r="I195" s="43"/>
      <c r="J195" s="43"/>
      <c r="K195" s="43"/>
      <c r="L195" s="43"/>
      <c r="M195" s="43"/>
      <c r="N195" s="151" t="str">
        <f>L212</f>
        <v/>
      </c>
      <c r="O195" s="10"/>
      <c r="P195" s="10"/>
      <c r="Q195" s="11"/>
      <c r="R195" s="7"/>
      <c r="S195" s="7"/>
      <c r="T195" s="12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spans="2:31">
      <c r="B196" s="9"/>
      <c r="Q196" s="11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spans="2:31">
      <c r="B197" s="9"/>
      <c r="D197" s="7"/>
      <c r="E197" s="7"/>
      <c r="G197" s="13" t="s">
        <v>37</v>
      </c>
      <c r="H197" s="45"/>
      <c r="Q197" s="11"/>
      <c r="R197" s="7"/>
      <c r="S197" s="7"/>
      <c r="T197" s="7" t="s">
        <v>38</v>
      </c>
      <c r="U197" s="7"/>
      <c r="V197" s="7"/>
      <c r="W197" s="7"/>
      <c r="X197" s="7" t="s">
        <v>39</v>
      </c>
      <c r="Y197" s="7"/>
      <c r="Z197" s="7"/>
      <c r="AA197" s="7"/>
      <c r="AB197" s="7"/>
      <c r="AC197" s="7"/>
      <c r="AD197" s="7"/>
    </row>
    <row r="198" spans="2:31">
      <c r="B198" s="9"/>
      <c r="D198" s="7"/>
      <c r="E198" s="7"/>
      <c r="G198" s="13" t="s">
        <v>40</v>
      </c>
      <c r="H198" s="45"/>
      <c r="Q198" s="11"/>
      <c r="R198" s="7"/>
      <c r="U198" s="8" t="s">
        <v>41</v>
      </c>
      <c r="Y198" s="8" t="s">
        <v>42</v>
      </c>
    </row>
    <row r="199" spans="2:31" ht="15.75">
      <c r="B199" s="9"/>
      <c r="D199" s="7"/>
      <c r="E199" s="7"/>
      <c r="I199" s="13"/>
      <c r="J199" s="13"/>
      <c r="P199" s="14"/>
      <c r="Q199" s="11"/>
      <c r="R199" s="7"/>
      <c r="S199" s="7"/>
      <c r="T199" s="15"/>
      <c r="U199" s="12"/>
      <c r="V199" s="7"/>
      <c r="W199" s="7"/>
      <c r="X199" s="7"/>
      <c r="Y199" s="7"/>
      <c r="Z199" s="7"/>
      <c r="AA199" s="7"/>
      <c r="AB199" s="7"/>
      <c r="AC199" s="7"/>
      <c r="AD199" s="7"/>
      <c r="AE199" s="7"/>
    </row>
    <row r="200" spans="2:31">
      <c r="B200" s="9"/>
      <c r="C200" s="16" t="s">
        <v>43</v>
      </c>
      <c r="D200" s="7"/>
      <c r="E200" s="7"/>
      <c r="F200" s="17" t="s">
        <v>44</v>
      </c>
      <c r="G200" s="16" t="s">
        <v>45</v>
      </c>
      <c r="H200" s="18"/>
      <c r="I200" s="18"/>
      <c r="J200" s="17" t="s">
        <v>44</v>
      </c>
      <c r="K200" s="16" t="s">
        <v>46</v>
      </c>
      <c r="L200" s="18"/>
      <c r="M200" s="18"/>
      <c r="N200" s="17" t="s">
        <v>44</v>
      </c>
      <c r="P200" s="19" t="s">
        <v>47</v>
      </c>
      <c r="Q200" s="11"/>
      <c r="R200" s="7"/>
      <c r="S200" s="7"/>
      <c r="T200" s="17" t="s">
        <v>48</v>
      </c>
      <c r="U200" s="17" t="s">
        <v>49</v>
      </c>
      <c r="V200" s="17" t="s">
        <v>50</v>
      </c>
      <c r="W200" s="7"/>
      <c r="X200" s="17" t="s">
        <v>48</v>
      </c>
      <c r="Y200" s="17" t="s">
        <v>49</v>
      </c>
      <c r="Z200" s="17" t="s">
        <v>50</v>
      </c>
      <c r="AA200" s="17"/>
      <c r="AB200" s="17" t="s">
        <v>48</v>
      </c>
      <c r="AC200" s="17" t="s">
        <v>49</v>
      </c>
      <c r="AD200" s="17" t="s">
        <v>50</v>
      </c>
      <c r="AE200" s="17" t="s">
        <v>38</v>
      </c>
    </row>
    <row r="201" spans="2:31">
      <c r="B201" s="20" t="s">
        <v>28</v>
      </c>
      <c r="C201" s="362"/>
      <c r="D201" s="363"/>
      <c r="E201" s="364"/>
      <c r="F201" s="44"/>
      <c r="G201" s="362"/>
      <c r="H201" s="363"/>
      <c r="I201" s="364"/>
      <c r="J201" s="44"/>
      <c r="K201" s="362"/>
      <c r="L201" s="363"/>
      <c r="M201" s="364"/>
      <c r="N201" s="44"/>
      <c r="P201" s="47"/>
      <c r="Q201" s="21"/>
      <c r="R201" s="7"/>
      <c r="S201" s="7"/>
      <c r="T201" s="22">
        <f>IF(F201&gt;0,$P201/1000/F201,0)</f>
        <v>0</v>
      </c>
      <c r="U201" s="22">
        <f t="shared" ref="U201:U208" si="112">IF(J201&gt;0,$P201/1000/J201,$T201)</f>
        <v>0</v>
      </c>
      <c r="V201" s="22">
        <f t="shared" ref="V201:V208" si="113">IF(N201&gt;0,$P201/1000/N201,$T201)</f>
        <v>0</v>
      </c>
      <c r="W201" s="7"/>
      <c r="X201" s="22">
        <f>F201</f>
        <v>0</v>
      </c>
      <c r="Y201" s="22">
        <f>IF(J201&gt;0,J201,$X201)</f>
        <v>0</v>
      </c>
      <c r="Z201" s="22">
        <f>IF(N201&gt;0,N201,$X201)</f>
        <v>0</v>
      </c>
      <c r="AA201" s="7"/>
      <c r="AB201" s="23">
        <f>T210</f>
        <v>1</v>
      </c>
      <c r="AC201" s="23">
        <f>U210</f>
        <v>0</v>
      </c>
      <c r="AD201" s="23">
        <f>V210</f>
        <v>0</v>
      </c>
      <c r="AE201" s="22">
        <f>IF(X201&lt;&gt;0,P201/1000/SUMPRODUCT(AB201:AD201,X201:Z201),0)</f>
        <v>0</v>
      </c>
    </row>
    <row r="202" spans="2:31">
      <c r="B202" s="20" t="s">
        <v>29</v>
      </c>
      <c r="C202" s="362"/>
      <c r="D202" s="363"/>
      <c r="E202" s="364"/>
      <c r="F202" s="44"/>
      <c r="G202" s="362"/>
      <c r="H202" s="363"/>
      <c r="I202" s="364"/>
      <c r="J202" s="44"/>
      <c r="K202" s="362"/>
      <c r="L202" s="363"/>
      <c r="M202" s="364"/>
      <c r="N202" s="44"/>
      <c r="P202" s="47"/>
      <c r="Q202" s="21"/>
      <c r="R202" s="7"/>
      <c r="S202" s="7"/>
      <c r="T202" s="22">
        <f t="shared" ref="T202:T208" si="114">IF(F202&gt;0,$P202/1000/F202,0)</f>
        <v>0</v>
      </c>
      <c r="U202" s="22">
        <f t="shared" si="112"/>
        <v>0</v>
      </c>
      <c r="V202" s="22">
        <f t="shared" si="113"/>
        <v>0</v>
      </c>
      <c r="W202" s="7"/>
      <c r="X202" s="22">
        <f t="shared" ref="X202:X208" si="115">F202</f>
        <v>0</v>
      </c>
      <c r="Y202" s="22">
        <f t="shared" ref="Y202:Y208" si="116">IF(J202&gt;0,J202,$X202)</f>
        <v>0</v>
      </c>
      <c r="Z202" s="22">
        <f t="shared" ref="Z202:Z208" si="117">IF(N202&gt;0,N202,$X202)</f>
        <v>0</v>
      </c>
      <c r="AA202" s="7"/>
      <c r="AB202" s="23">
        <f t="shared" ref="AB202:AD202" si="118">AB201</f>
        <v>1</v>
      </c>
      <c r="AC202" s="23">
        <f t="shared" si="118"/>
        <v>0</v>
      </c>
      <c r="AD202" s="23">
        <f t="shared" si="118"/>
        <v>0</v>
      </c>
      <c r="AE202" s="22">
        <f t="shared" ref="AE202:AE208" si="119">IF(X202&lt;&gt;0,P202/1000/SUMPRODUCT(AB202:AD202,X202:Z202),0)</f>
        <v>0</v>
      </c>
    </row>
    <row r="203" spans="2:31">
      <c r="B203" s="20" t="s">
        <v>30</v>
      </c>
      <c r="C203" s="362"/>
      <c r="D203" s="363"/>
      <c r="E203" s="364"/>
      <c r="F203" s="44"/>
      <c r="G203" s="362"/>
      <c r="H203" s="363"/>
      <c r="I203" s="364"/>
      <c r="J203" s="44"/>
      <c r="K203" s="362"/>
      <c r="L203" s="363"/>
      <c r="M203" s="364"/>
      <c r="N203" s="44"/>
      <c r="P203" s="47"/>
      <c r="Q203" s="21"/>
      <c r="R203" s="7"/>
      <c r="S203" s="7"/>
      <c r="T203" s="22">
        <f t="shared" si="114"/>
        <v>0</v>
      </c>
      <c r="U203" s="22">
        <f t="shared" si="112"/>
        <v>0</v>
      </c>
      <c r="V203" s="22">
        <f t="shared" si="113"/>
        <v>0</v>
      </c>
      <c r="W203" s="7"/>
      <c r="X203" s="22">
        <f t="shared" si="115"/>
        <v>0</v>
      </c>
      <c r="Y203" s="22">
        <f t="shared" si="116"/>
        <v>0</v>
      </c>
      <c r="Z203" s="22">
        <f t="shared" si="117"/>
        <v>0</v>
      </c>
      <c r="AA203" s="7"/>
      <c r="AB203" s="23">
        <f t="shared" ref="AB203:AD203" si="120">AB202</f>
        <v>1</v>
      </c>
      <c r="AC203" s="23">
        <f t="shared" si="120"/>
        <v>0</v>
      </c>
      <c r="AD203" s="23">
        <f t="shared" si="120"/>
        <v>0</v>
      </c>
      <c r="AE203" s="22">
        <f t="shared" si="119"/>
        <v>0</v>
      </c>
    </row>
    <row r="204" spans="2:31">
      <c r="B204" s="20" t="s">
        <v>31</v>
      </c>
      <c r="C204" s="362"/>
      <c r="D204" s="363"/>
      <c r="E204" s="364"/>
      <c r="F204" s="44"/>
      <c r="G204" s="362"/>
      <c r="H204" s="363"/>
      <c r="I204" s="364"/>
      <c r="J204" s="44"/>
      <c r="K204" s="362"/>
      <c r="L204" s="363"/>
      <c r="M204" s="364"/>
      <c r="N204" s="44"/>
      <c r="P204" s="47"/>
      <c r="Q204" s="21"/>
      <c r="R204" s="7"/>
      <c r="S204" s="7"/>
      <c r="T204" s="22">
        <f t="shared" si="114"/>
        <v>0</v>
      </c>
      <c r="U204" s="22">
        <f t="shared" si="112"/>
        <v>0</v>
      </c>
      <c r="V204" s="22">
        <f t="shared" si="113"/>
        <v>0</v>
      </c>
      <c r="W204" s="7"/>
      <c r="X204" s="22">
        <f t="shared" si="115"/>
        <v>0</v>
      </c>
      <c r="Y204" s="22">
        <f t="shared" si="116"/>
        <v>0</v>
      </c>
      <c r="Z204" s="22">
        <f t="shared" si="117"/>
        <v>0</v>
      </c>
      <c r="AA204" s="7"/>
      <c r="AB204" s="23">
        <f>AB203</f>
        <v>1</v>
      </c>
      <c r="AC204" s="23">
        <f>AC203</f>
        <v>0</v>
      </c>
      <c r="AD204" s="23">
        <f>AD203</f>
        <v>0</v>
      </c>
      <c r="AE204" s="22">
        <f t="shared" si="119"/>
        <v>0</v>
      </c>
    </row>
    <row r="205" spans="2:31">
      <c r="B205" s="20" t="s">
        <v>32</v>
      </c>
      <c r="C205" s="362"/>
      <c r="D205" s="363"/>
      <c r="E205" s="364"/>
      <c r="F205" s="44"/>
      <c r="G205" s="362"/>
      <c r="H205" s="363"/>
      <c r="I205" s="364"/>
      <c r="J205" s="44"/>
      <c r="K205" s="362"/>
      <c r="L205" s="363"/>
      <c r="M205" s="364"/>
      <c r="N205" s="44"/>
      <c r="P205" s="47"/>
      <c r="Q205" s="21"/>
      <c r="R205" s="7"/>
      <c r="S205" s="7"/>
      <c r="T205" s="22">
        <f t="shared" si="114"/>
        <v>0</v>
      </c>
      <c r="U205" s="22">
        <f t="shared" si="112"/>
        <v>0</v>
      </c>
      <c r="V205" s="22">
        <f t="shared" si="113"/>
        <v>0</v>
      </c>
      <c r="W205" s="7"/>
      <c r="X205" s="22">
        <f t="shared" si="115"/>
        <v>0</v>
      </c>
      <c r="Y205" s="22">
        <f t="shared" si="116"/>
        <v>0</v>
      </c>
      <c r="Z205" s="22">
        <f t="shared" si="117"/>
        <v>0</v>
      </c>
      <c r="AA205" s="7"/>
      <c r="AB205" s="23">
        <f t="shared" ref="AB205:AD205" si="121">AB204</f>
        <v>1</v>
      </c>
      <c r="AC205" s="23">
        <f t="shared" si="121"/>
        <v>0</v>
      </c>
      <c r="AD205" s="23">
        <f t="shared" si="121"/>
        <v>0</v>
      </c>
      <c r="AE205" s="22">
        <f t="shared" si="119"/>
        <v>0</v>
      </c>
    </row>
    <row r="206" spans="2:31">
      <c r="B206" s="20" t="s">
        <v>51</v>
      </c>
      <c r="C206" s="362"/>
      <c r="D206" s="363"/>
      <c r="E206" s="364"/>
      <c r="F206" s="44"/>
      <c r="G206" s="362"/>
      <c r="H206" s="363"/>
      <c r="I206" s="364"/>
      <c r="J206" s="44"/>
      <c r="K206" s="362"/>
      <c r="L206" s="363"/>
      <c r="M206" s="364"/>
      <c r="N206" s="44"/>
      <c r="P206" s="47"/>
      <c r="Q206" s="21"/>
      <c r="R206" s="7"/>
      <c r="S206" s="7"/>
      <c r="T206" s="22">
        <f t="shared" si="114"/>
        <v>0</v>
      </c>
      <c r="U206" s="22">
        <f t="shared" si="112"/>
        <v>0</v>
      </c>
      <c r="V206" s="22">
        <f t="shared" si="113"/>
        <v>0</v>
      </c>
      <c r="W206" s="7"/>
      <c r="X206" s="22">
        <f t="shared" si="115"/>
        <v>0</v>
      </c>
      <c r="Y206" s="22">
        <f t="shared" si="116"/>
        <v>0</v>
      </c>
      <c r="Z206" s="22">
        <f t="shared" si="117"/>
        <v>0</v>
      </c>
      <c r="AA206" s="7"/>
      <c r="AB206" s="23">
        <f t="shared" ref="AB206:AD206" si="122">AB205</f>
        <v>1</v>
      </c>
      <c r="AC206" s="23">
        <f t="shared" si="122"/>
        <v>0</v>
      </c>
      <c r="AD206" s="23">
        <f t="shared" si="122"/>
        <v>0</v>
      </c>
      <c r="AE206" s="22">
        <f t="shared" si="119"/>
        <v>0</v>
      </c>
    </row>
    <row r="207" spans="2:31">
      <c r="B207" s="20" t="s">
        <v>52</v>
      </c>
      <c r="C207" s="362"/>
      <c r="D207" s="363"/>
      <c r="E207" s="364"/>
      <c r="F207" s="44"/>
      <c r="G207" s="362"/>
      <c r="H207" s="363"/>
      <c r="I207" s="364"/>
      <c r="J207" s="44"/>
      <c r="K207" s="362"/>
      <c r="L207" s="363"/>
      <c r="M207" s="364"/>
      <c r="N207" s="44"/>
      <c r="P207" s="47"/>
      <c r="Q207" s="21"/>
      <c r="R207" s="7"/>
      <c r="S207" s="7"/>
      <c r="T207" s="22">
        <f t="shared" si="114"/>
        <v>0</v>
      </c>
      <c r="U207" s="22">
        <f t="shared" si="112"/>
        <v>0</v>
      </c>
      <c r="V207" s="22">
        <f t="shared" si="113"/>
        <v>0</v>
      </c>
      <c r="W207" s="7"/>
      <c r="X207" s="22">
        <f t="shared" si="115"/>
        <v>0</v>
      </c>
      <c r="Y207" s="22">
        <f t="shared" si="116"/>
        <v>0</v>
      </c>
      <c r="Z207" s="22">
        <f t="shared" si="117"/>
        <v>0</v>
      </c>
      <c r="AA207" s="7"/>
      <c r="AB207" s="23">
        <f t="shared" ref="AB207:AD207" si="123">AB206</f>
        <v>1</v>
      </c>
      <c r="AC207" s="23">
        <f t="shared" si="123"/>
        <v>0</v>
      </c>
      <c r="AD207" s="23">
        <f t="shared" si="123"/>
        <v>0</v>
      </c>
      <c r="AE207" s="22">
        <f t="shared" si="119"/>
        <v>0</v>
      </c>
    </row>
    <row r="208" spans="2:31">
      <c r="B208" s="20" t="s">
        <v>53</v>
      </c>
      <c r="C208" s="362"/>
      <c r="D208" s="363"/>
      <c r="E208" s="364"/>
      <c r="F208" s="44"/>
      <c r="G208" s="362"/>
      <c r="H208" s="363"/>
      <c r="I208" s="364"/>
      <c r="J208" s="44"/>
      <c r="K208" s="362"/>
      <c r="L208" s="363"/>
      <c r="M208" s="364"/>
      <c r="N208" s="44"/>
      <c r="P208" s="47"/>
      <c r="Q208" s="21"/>
      <c r="R208" s="7"/>
      <c r="S208" s="7"/>
      <c r="T208" s="22">
        <f t="shared" si="114"/>
        <v>0</v>
      </c>
      <c r="U208" s="22">
        <f t="shared" si="112"/>
        <v>0</v>
      </c>
      <c r="V208" s="22">
        <f t="shared" si="113"/>
        <v>0</v>
      </c>
      <c r="W208" s="7"/>
      <c r="X208" s="22">
        <f t="shared" si="115"/>
        <v>0</v>
      </c>
      <c r="Y208" s="22">
        <f t="shared" si="116"/>
        <v>0</v>
      </c>
      <c r="Z208" s="22">
        <f t="shared" si="117"/>
        <v>0</v>
      </c>
      <c r="AA208" s="7"/>
      <c r="AB208" s="23">
        <f t="shared" ref="AB208:AD208" si="124">AB207</f>
        <v>1</v>
      </c>
      <c r="AC208" s="23">
        <f t="shared" si="124"/>
        <v>0</v>
      </c>
      <c r="AD208" s="23">
        <f t="shared" si="124"/>
        <v>0</v>
      </c>
      <c r="AE208" s="22">
        <f t="shared" si="119"/>
        <v>0</v>
      </c>
    </row>
    <row r="209" spans="2:31">
      <c r="B209" s="9"/>
      <c r="C209" s="24"/>
      <c r="D209" s="7"/>
      <c r="E209" s="7"/>
      <c r="F209" s="25" t="s">
        <v>54</v>
      </c>
      <c r="J209" s="25" t="s">
        <v>55</v>
      </c>
      <c r="M209" s="7"/>
      <c r="N209" s="25" t="s">
        <v>56</v>
      </c>
      <c r="P209" s="19" t="s">
        <v>4</v>
      </c>
      <c r="Q209" s="21"/>
      <c r="R209" s="7"/>
      <c r="S209" s="26" t="s">
        <v>57</v>
      </c>
      <c r="T209" s="22">
        <f>IF(ISNUMBER($F201),1/($H197+SUM(T201:T208)+$H198),0)</f>
        <v>0</v>
      </c>
      <c r="U209" s="22">
        <f>IF(ISNUMBER($F201),1/($H197+SUM(U201:U208)+$H198),0)</f>
        <v>0</v>
      </c>
      <c r="V209" s="22">
        <f>IF(ISNUMBER($F201),1/($H197+SUM(V201:V208)+$H198),0)</f>
        <v>0</v>
      </c>
      <c r="W209" s="7"/>
      <c r="X209" s="7"/>
      <c r="Y209" s="7"/>
      <c r="Z209" s="7"/>
      <c r="AA209" s="7"/>
      <c r="AB209" s="7"/>
      <c r="AC209" s="7"/>
      <c r="AD209" s="7"/>
      <c r="AE209" s="22"/>
    </row>
    <row r="210" spans="2:31" ht="18.75">
      <c r="B210" s="9"/>
      <c r="C210" s="24"/>
      <c r="D210" s="24"/>
      <c r="E210" s="24"/>
      <c r="F210" s="27">
        <f>MAX(0,1-J210-N210)</f>
        <v>1</v>
      </c>
      <c r="G210" s="24"/>
      <c r="H210" s="24"/>
      <c r="I210" s="24"/>
      <c r="J210" s="50"/>
      <c r="K210" s="14"/>
      <c r="L210" s="24"/>
      <c r="M210" s="24"/>
      <c r="N210" s="50"/>
      <c r="O210" s="14"/>
      <c r="P210" s="38" t="str">
        <f>IF(ISNUMBER(P201),SUM(P201:P209)/10,"")</f>
        <v/>
      </c>
      <c r="Q210" s="28" t="s">
        <v>58</v>
      </c>
      <c r="R210" s="7"/>
      <c r="S210" s="26" t="s">
        <v>59</v>
      </c>
      <c r="T210" s="49">
        <f>1-SUM(U210:V210)</f>
        <v>1</v>
      </c>
      <c r="U210" s="49">
        <f>J210</f>
        <v>0</v>
      </c>
      <c r="V210" s="49">
        <f>N210</f>
        <v>0</v>
      </c>
      <c r="W210" s="26"/>
      <c r="X210" s="7"/>
      <c r="Y210" s="7"/>
      <c r="Z210" s="7"/>
      <c r="AA210" s="7"/>
      <c r="AB210" s="7"/>
      <c r="AC210" s="7"/>
      <c r="AD210" s="7"/>
      <c r="AE210" s="22"/>
    </row>
    <row r="211" spans="2:31">
      <c r="B211" s="9"/>
      <c r="C211" s="39" t="str">
        <f>IF(J210+N210&gt;1,"Součet dílčích ploch je vyšší než 100 %!","")</f>
        <v/>
      </c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14"/>
      <c r="P211" s="7"/>
      <c r="Q211" s="21"/>
      <c r="R211" s="7"/>
      <c r="S211" s="23"/>
      <c r="T211" s="22"/>
      <c r="U211" s="22"/>
      <c r="V211" s="22"/>
      <c r="W211" s="7"/>
      <c r="X211" s="7"/>
      <c r="Y211" s="7"/>
      <c r="Z211" s="7"/>
      <c r="AA211" s="7"/>
      <c r="AB211" s="7"/>
      <c r="AC211" s="7"/>
      <c r="AD211" s="7"/>
      <c r="AE211" s="22"/>
    </row>
    <row r="212" spans="2:31" ht="18.75">
      <c r="B212" s="9"/>
      <c r="D212" s="7"/>
      <c r="E212" s="18" t="s">
        <v>60</v>
      </c>
      <c r="F212" s="45"/>
      <c r="G212" s="24" t="s">
        <v>61</v>
      </c>
      <c r="H212" s="7"/>
      <c r="I212" s="7"/>
      <c r="J212" s="7"/>
      <c r="K212" s="29" t="s">
        <v>62</v>
      </c>
      <c r="L212" s="40" t="str">
        <f>IF(ISNUMBER(F201),IF(T213&lt;0.1,1/T212,1/(AE212*1.1))+F212,"")</f>
        <v/>
      </c>
      <c r="M212" s="41"/>
      <c r="N212" s="24" t="s">
        <v>61</v>
      </c>
      <c r="O212" s="7"/>
      <c r="P212" s="7"/>
      <c r="Q212" s="21"/>
      <c r="R212" s="7"/>
      <c r="S212" s="23" t="s">
        <v>63</v>
      </c>
      <c r="T212" s="22">
        <f>IF(ISNUMBER(F201),AVERAGE(V212,AE212),0)</f>
        <v>0</v>
      </c>
      <c r="U212" s="23" t="s">
        <v>64</v>
      </c>
      <c r="V212" s="22">
        <f>IF(ISNUMBER(F201),1/SUMPRODUCT(T210:V210,T209:V209),0)</f>
        <v>0</v>
      </c>
      <c r="W212" s="7"/>
      <c r="X212" s="7"/>
      <c r="Y212" s="7"/>
      <c r="Z212" s="7"/>
      <c r="AA212" s="30"/>
      <c r="AB212" s="30"/>
      <c r="AC212" s="7"/>
      <c r="AD212" s="23" t="s">
        <v>65</v>
      </c>
      <c r="AE212" s="22">
        <f>$H197+SUM(AE201:AE208)+$H198</f>
        <v>0</v>
      </c>
    </row>
    <row r="213" spans="2:31">
      <c r="B213" s="31"/>
      <c r="C213" s="42" t="str">
        <f>IF(T213&lt;=0.1,"","Chyba výpočtu hodnoty U asi převyšuje 10 %. Spočítat tepelné mosty?")</f>
        <v/>
      </c>
      <c r="D213" s="32"/>
      <c r="E213" s="32"/>
      <c r="F213" s="33"/>
      <c r="G213" s="32"/>
      <c r="H213" s="32"/>
      <c r="I213" s="32"/>
      <c r="J213" s="32"/>
      <c r="K213" s="32"/>
      <c r="L213" s="32"/>
      <c r="M213" s="32"/>
      <c r="N213" s="32"/>
      <c r="O213" s="32"/>
      <c r="P213" s="34"/>
      <c r="Q213" s="35"/>
      <c r="R213" s="7"/>
      <c r="S213" s="23" t="s">
        <v>66</v>
      </c>
      <c r="T213" s="36">
        <f>IF(ISNUMBER(F201),(V212-AE212)/(2*T212),0)</f>
        <v>0</v>
      </c>
      <c r="U213" s="37"/>
      <c r="V213" s="7"/>
      <c r="W213" s="23"/>
      <c r="X213" s="7"/>
      <c r="Y213" s="7"/>
      <c r="Z213" s="7"/>
      <c r="AA213" s="7"/>
      <c r="AB213" s="7"/>
      <c r="AC213" s="7"/>
      <c r="AD213" s="7"/>
    </row>
    <row r="214" spans="2:31"/>
    <row r="215" spans="2:31">
      <c r="B215" s="2"/>
      <c r="C215" s="3" t="s">
        <v>35</v>
      </c>
      <c r="D215" s="4" t="s">
        <v>36</v>
      </c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6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</row>
    <row r="216" spans="2:31" ht="15.75">
      <c r="B216" s="9"/>
      <c r="C216" s="48"/>
      <c r="D216" s="46"/>
      <c r="E216" s="43"/>
      <c r="F216" s="43"/>
      <c r="G216" s="43"/>
      <c r="H216" s="43"/>
      <c r="I216" s="43"/>
      <c r="J216" s="43"/>
      <c r="K216" s="43"/>
      <c r="L216" s="43"/>
      <c r="M216" s="43"/>
      <c r="N216" s="151" t="str">
        <f>L233</f>
        <v/>
      </c>
      <c r="O216" s="10"/>
      <c r="P216" s="10"/>
      <c r="Q216" s="11"/>
      <c r="R216" s="7"/>
      <c r="S216" s="7"/>
      <c r="T216" s="12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spans="2:31">
      <c r="B217" s="9"/>
      <c r="Q217" s="11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spans="2:31">
      <c r="B218" s="9"/>
      <c r="D218" s="7"/>
      <c r="E218" s="7"/>
      <c r="G218" s="13" t="s">
        <v>37</v>
      </c>
      <c r="H218" s="45"/>
      <c r="Q218" s="11"/>
      <c r="R218" s="7"/>
      <c r="S218" s="7"/>
      <c r="T218" s="7" t="s">
        <v>38</v>
      </c>
      <c r="U218" s="7"/>
      <c r="V218" s="7"/>
      <c r="W218" s="7"/>
      <c r="X218" s="7" t="s">
        <v>39</v>
      </c>
      <c r="Y218" s="7"/>
      <c r="Z218" s="7"/>
      <c r="AA218" s="7"/>
      <c r="AB218" s="7"/>
      <c r="AC218" s="7"/>
      <c r="AD218" s="7"/>
    </row>
    <row r="219" spans="2:31">
      <c r="B219" s="9"/>
      <c r="D219" s="7"/>
      <c r="E219" s="7"/>
      <c r="G219" s="13" t="s">
        <v>40</v>
      </c>
      <c r="H219" s="45"/>
      <c r="Q219" s="11"/>
      <c r="R219" s="7"/>
      <c r="U219" s="8" t="s">
        <v>41</v>
      </c>
      <c r="Y219" s="8" t="s">
        <v>42</v>
      </c>
    </row>
    <row r="220" spans="2:31" ht="15.75">
      <c r="B220" s="9"/>
      <c r="D220" s="7"/>
      <c r="E220" s="7"/>
      <c r="I220" s="13"/>
      <c r="J220" s="13"/>
      <c r="P220" s="14"/>
      <c r="Q220" s="11"/>
      <c r="R220" s="7"/>
      <c r="S220" s="7"/>
      <c r="T220" s="15"/>
      <c r="U220" s="12"/>
      <c r="V220" s="7"/>
      <c r="W220" s="7"/>
      <c r="X220" s="7"/>
      <c r="Y220" s="7"/>
      <c r="Z220" s="7"/>
      <c r="AA220" s="7"/>
      <c r="AB220" s="7"/>
      <c r="AC220" s="7"/>
      <c r="AD220" s="7"/>
      <c r="AE220" s="7"/>
    </row>
    <row r="221" spans="2:31">
      <c r="B221" s="9"/>
      <c r="C221" s="16" t="s">
        <v>43</v>
      </c>
      <c r="D221" s="7"/>
      <c r="E221" s="7"/>
      <c r="F221" s="17" t="s">
        <v>44</v>
      </c>
      <c r="G221" s="16" t="s">
        <v>45</v>
      </c>
      <c r="H221" s="18"/>
      <c r="I221" s="18"/>
      <c r="J221" s="17" t="s">
        <v>44</v>
      </c>
      <c r="K221" s="16" t="s">
        <v>46</v>
      </c>
      <c r="L221" s="18"/>
      <c r="M221" s="18"/>
      <c r="N221" s="17" t="s">
        <v>44</v>
      </c>
      <c r="P221" s="19" t="s">
        <v>47</v>
      </c>
      <c r="Q221" s="11"/>
      <c r="R221" s="7"/>
      <c r="S221" s="7"/>
      <c r="T221" s="17" t="s">
        <v>48</v>
      </c>
      <c r="U221" s="17" t="s">
        <v>49</v>
      </c>
      <c r="V221" s="17" t="s">
        <v>50</v>
      </c>
      <c r="W221" s="7"/>
      <c r="X221" s="17" t="s">
        <v>48</v>
      </c>
      <c r="Y221" s="17" t="s">
        <v>49</v>
      </c>
      <c r="Z221" s="17" t="s">
        <v>50</v>
      </c>
      <c r="AA221" s="17"/>
      <c r="AB221" s="17" t="s">
        <v>48</v>
      </c>
      <c r="AC221" s="17" t="s">
        <v>49</v>
      </c>
      <c r="AD221" s="17" t="s">
        <v>50</v>
      </c>
      <c r="AE221" s="17" t="s">
        <v>38</v>
      </c>
    </row>
    <row r="222" spans="2:31">
      <c r="B222" s="20" t="s">
        <v>28</v>
      </c>
      <c r="C222" s="362"/>
      <c r="D222" s="363"/>
      <c r="E222" s="364"/>
      <c r="F222" s="44"/>
      <c r="G222" s="362"/>
      <c r="H222" s="363"/>
      <c r="I222" s="364"/>
      <c r="J222" s="44"/>
      <c r="K222" s="362"/>
      <c r="L222" s="363"/>
      <c r="M222" s="364"/>
      <c r="N222" s="44"/>
      <c r="P222" s="47"/>
      <c r="Q222" s="21"/>
      <c r="R222" s="7"/>
      <c r="S222" s="7"/>
      <c r="T222" s="22">
        <f>IF(F222&gt;0,$P222/1000/F222,0)</f>
        <v>0</v>
      </c>
      <c r="U222" s="22">
        <f t="shared" ref="U222:U229" si="125">IF(J222&gt;0,$P222/1000/J222,$T222)</f>
        <v>0</v>
      </c>
      <c r="V222" s="22">
        <f t="shared" ref="V222:V229" si="126">IF(N222&gt;0,$P222/1000/N222,$T222)</f>
        <v>0</v>
      </c>
      <c r="W222" s="7"/>
      <c r="X222" s="22">
        <f>F222</f>
        <v>0</v>
      </c>
      <c r="Y222" s="22">
        <f>IF(J222&gt;0,J222,$X222)</f>
        <v>0</v>
      </c>
      <c r="Z222" s="22">
        <f>IF(N222&gt;0,N222,$X222)</f>
        <v>0</v>
      </c>
      <c r="AA222" s="7"/>
      <c r="AB222" s="23">
        <f>T231</f>
        <v>1</v>
      </c>
      <c r="AC222" s="23">
        <f>U231</f>
        <v>0</v>
      </c>
      <c r="AD222" s="23">
        <f>V231</f>
        <v>0</v>
      </c>
      <c r="AE222" s="22">
        <f>IF(X222&lt;&gt;0,P222/1000/SUMPRODUCT(AB222:AD222,X222:Z222),0)</f>
        <v>0</v>
      </c>
    </row>
    <row r="223" spans="2:31">
      <c r="B223" s="20" t="s">
        <v>29</v>
      </c>
      <c r="C223" s="362"/>
      <c r="D223" s="363"/>
      <c r="E223" s="364"/>
      <c r="F223" s="44"/>
      <c r="G223" s="362"/>
      <c r="H223" s="363"/>
      <c r="I223" s="364"/>
      <c r="J223" s="44"/>
      <c r="K223" s="362"/>
      <c r="L223" s="363"/>
      <c r="M223" s="364"/>
      <c r="N223" s="44"/>
      <c r="P223" s="47"/>
      <c r="Q223" s="21"/>
      <c r="R223" s="7"/>
      <c r="S223" s="7"/>
      <c r="T223" s="22">
        <f t="shared" ref="T223:T229" si="127">IF(F223&gt;0,$P223/1000/F223,0)</f>
        <v>0</v>
      </c>
      <c r="U223" s="22">
        <f t="shared" si="125"/>
        <v>0</v>
      </c>
      <c r="V223" s="22">
        <f t="shared" si="126"/>
        <v>0</v>
      </c>
      <c r="W223" s="7"/>
      <c r="X223" s="22">
        <f t="shared" ref="X223:X229" si="128">F223</f>
        <v>0</v>
      </c>
      <c r="Y223" s="22">
        <f t="shared" ref="Y223:Y229" si="129">IF(J223&gt;0,J223,$X223)</f>
        <v>0</v>
      </c>
      <c r="Z223" s="22">
        <f t="shared" ref="Z223:Z229" si="130">IF(N223&gt;0,N223,$X223)</f>
        <v>0</v>
      </c>
      <c r="AA223" s="7"/>
      <c r="AB223" s="23">
        <f t="shared" ref="AB223:AD223" si="131">AB222</f>
        <v>1</v>
      </c>
      <c r="AC223" s="23">
        <f t="shared" si="131"/>
        <v>0</v>
      </c>
      <c r="AD223" s="23">
        <f t="shared" si="131"/>
        <v>0</v>
      </c>
      <c r="AE223" s="22">
        <f t="shared" ref="AE223:AE229" si="132">IF(X223&lt;&gt;0,P223/1000/SUMPRODUCT(AB223:AD223,X223:Z223),0)</f>
        <v>0</v>
      </c>
    </row>
    <row r="224" spans="2:31">
      <c r="B224" s="20" t="s">
        <v>30</v>
      </c>
      <c r="C224" s="362"/>
      <c r="D224" s="363"/>
      <c r="E224" s="364"/>
      <c r="F224" s="44"/>
      <c r="G224" s="362"/>
      <c r="H224" s="363"/>
      <c r="I224" s="364"/>
      <c r="J224" s="44"/>
      <c r="K224" s="362"/>
      <c r="L224" s="363"/>
      <c r="M224" s="364"/>
      <c r="N224" s="44"/>
      <c r="P224" s="47"/>
      <c r="Q224" s="21"/>
      <c r="R224" s="7"/>
      <c r="S224" s="7"/>
      <c r="T224" s="22">
        <f t="shared" si="127"/>
        <v>0</v>
      </c>
      <c r="U224" s="22">
        <f t="shared" si="125"/>
        <v>0</v>
      </c>
      <c r="V224" s="22">
        <f t="shared" si="126"/>
        <v>0</v>
      </c>
      <c r="W224" s="7"/>
      <c r="X224" s="22">
        <f t="shared" si="128"/>
        <v>0</v>
      </c>
      <c r="Y224" s="22">
        <f t="shared" si="129"/>
        <v>0</v>
      </c>
      <c r="Z224" s="22">
        <f t="shared" si="130"/>
        <v>0</v>
      </c>
      <c r="AA224" s="7"/>
      <c r="AB224" s="23">
        <f t="shared" ref="AB224:AD224" si="133">AB223</f>
        <v>1</v>
      </c>
      <c r="AC224" s="23">
        <f t="shared" si="133"/>
        <v>0</v>
      </c>
      <c r="AD224" s="23">
        <f t="shared" si="133"/>
        <v>0</v>
      </c>
      <c r="AE224" s="22">
        <f t="shared" si="132"/>
        <v>0</v>
      </c>
    </row>
    <row r="225" spans="2:31">
      <c r="B225" s="20" t="s">
        <v>31</v>
      </c>
      <c r="C225" s="362"/>
      <c r="D225" s="363"/>
      <c r="E225" s="364"/>
      <c r="F225" s="44"/>
      <c r="G225" s="362"/>
      <c r="H225" s="363"/>
      <c r="I225" s="364"/>
      <c r="J225" s="44"/>
      <c r="K225" s="362"/>
      <c r="L225" s="363"/>
      <c r="M225" s="364"/>
      <c r="N225" s="44"/>
      <c r="P225" s="47"/>
      <c r="Q225" s="21"/>
      <c r="R225" s="7"/>
      <c r="S225" s="7"/>
      <c r="T225" s="22">
        <f t="shared" si="127"/>
        <v>0</v>
      </c>
      <c r="U225" s="22">
        <f t="shared" si="125"/>
        <v>0</v>
      </c>
      <c r="V225" s="22">
        <f t="shared" si="126"/>
        <v>0</v>
      </c>
      <c r="W225" s="7"/>
      <c r="X225" s="22">
        <f t="shared" si="128"/>
        <v>0</v>
      </c>
      <c r="Y225" s="22">
        <f t="shared" si="129"/>
        <v>0</v>
      </c>
      <c r="Z225" s="22">
        <f t="shared" si="130"/>
        <v>0</v>
      </c>
      <c r="AA225" s="7"/>
      <c r="AB225" s="23">
        <f>AB224</f>
        <v>1</v>
      </c>
      <c r="AC225" s="23">
        <f>AC224</f>
        <v>0</v>
      </c>
      <c r="AD225" s="23">
        <f>AD224</f>
        <v>0</v>
      </c>
      <c r="AE225" s="22">
        <f t="shared" si="132"/>
        <v>0</v>
      </c>
    </row>
    <row r="226" spans="2:31">
      <c r="B226" s="20" t="s">
        <v>32</v>
      </c>
      <c r="C226" s="362"/>
      <c r="D226" s="363"/>
      <c r="E226" s="364"/>
      <c r="F226" s="44"/>
      <c r="G226" s="362"/>
      <c r="H226" s="363"/>
      <c r="I226" s="364"/>
      <c r="J226" s="44"/>
      <c r="K226" s="362"/>
      <c r="L226" s="363"/>
      <c r="M226" s="364"/>
      <c r="N226" s="44"/>
      <c r="P226" s="47"/>
      <c r="Q226" s="21"/>
      <c r="R226" s="7"/>
      <c r="S226" s="7"/>
      <c r="T226" s="22">
        <f t="shared" si="127"/>
        <v>0</v>
      </c>
      <c r="U226" s="22">
        <f t="shared" si="125"/>
        <v>0</v>
      </c>
      <c r="V226" s="22">
        <f t="shared" si="126"/>
        <v>0</v>
      </c>
      <c r="W226" s="7"/>
      <c r="X226" s="22">
        <f t="shared" si="128"/>
        <v>0</v>
      </c>
      <c r="Y226" s="22">
        <f t="shared" si="129"/>
        <v>0</v>
      </c>
      <c r="Z226" s="22">
        <f t="shared" si="130"/>
        <v>0</v>
      </c>
      <c r="AA226" s="7"/>
      <c r="AB226" s="23">
        <f t="shared" ref="AB226:AD226" si="134">AB225</f>
        <v>1</v>
      </c>
      <c r="AC226" s="23">
        <f t="shared" si="134"/>
        <v>0</v>
      </c>
      <c r="AD226" s="23">
        <f t="shared" si="134"/>
        <v>0</v>
      </c>
      <c r="AE226" s="22">
        <f t="shared" si="132"/>
        <v>0</v>
      </c>
    </row>
    <row r="227" spans="2:31">
      <c r="B227" s="20" t="s">
        <v>51</v>
      </c>
      <c r="C227" s="362"/>
      <c r="D227" s="363"/>
      <c r="E227" s="364"/>
      <c r="F227" s="44"/>
      <c r="G227" s="362"/>
      <c r="H227" s="363"/>
      <c r="I227" s="364"/>
      <c r="J227" s="44"/>
      <c r="K227" s="362"/>
      <c r="L227" s="363"/>
      <c r="M227" s="364"/>
      <c r="N227" s="44"/>
      <c r="P227" s="47"/>
      <c r="Q227" s="21"/>
      <c r="R227" s="7"/>
      <c r="S227" s="7"/>
      <c r="T227" s="22">
        <f t="shared" si="127"/>
        <v>0</v>
      </c>
      <c r="U227" s="22">
        <f t="shared" si="125"/>
        <v>0</v>
      </c>
      <c r="V227" s="22">
        <f t="shared" si="126"/>
        <v>0</v>
      </c>
      <c r="W227" s="7"/>
      <c r="X227" s="22">
        <f t="shared" si="128"/>
        <v>0</v>
      </c>
      <c r="Y227" s="22">
        <f t="shared" si="129"/>
        <v>0</v>
      </c>
      <c r="Z227" s="22">
        <f t="shared" si="130"/>
        <v>0</v>
      </c>
      <c r="AA227" s="7"/>
      <c r="AB227" s="23">
        <f t="shared" ref="AB227:AD227" si="135">AB226</f>
        <v>1</v>
      </c>
      <c r="AC227" s="23">
        <f t="shared" si="135"/>
        <v>0</v>
      </c>
      <c r="AD227" s="23">
        <f t="shared" si="135"/>
        <v>0</v>
      </c>
      <c r="AE227" s="22">
        <f t="shared" si="132"/>
        <v>0</v>
      </c>
    </row>
    <row r="228" spans="2:31">
      <c r="B228" s="20" t="s">
        <v>52</v>
      </c>
      <c r="C228" s="362"/>
      <c r="D228" s="363"/>
      <c r="E228" s="364"/>
      <c r="F228" s="44"/>
      <c r="G228" s="362"/>
      <c r="H228" s="363"/>
      <c r="I228" s="364"/>
      <c r="J228" s="44"/>
      <c r="K228" s="362"/>
      <c r="L228" s="363"/>
      <c r="M228" s="364"/>
      <c r="N228" s="44"/>
      <c r="P228" s="47"/>
      <c r="Q228" s="21"/>
      <c r="R228" s="7"/>
      <c r="S228" s="7"/>
      <c r="T228" s="22">
        <f t="shared" si="127"/>
        <v>0</v>
      </c>
      <c r="U228" s="22">
        <f t="shared" si="125"/>
        <v>0</v>
      </c>
      <c r="V228" s="22">
        <f t="shared" si="126"/>
        <v>0</v>
      </c>
      <c r="W228" s="7"/>
      <c r="X228" s="22">
        <f t="shared" si="128"/>
        <v>0</v>
      </c>
      <c r="Y228" s="22">
        <f t="shared" si="129"/>
        <v>0</v>
      </c>
      <c r="Z228" s="22">
        <f t="shared" si="130"/>
        <v>0</v>
      </c>
      <c r="AA228" s="7"/>
      <c r="AB228" s="23">
        <f t="shared" ref="AB228:AD228" si="136">AB227</f>
        <v>1</v>
      </c>
      <c r="AC228" s="23">
        <f t="shared" si="136"/>
        <v>0</v>
      </c>
      <c r="AD228" s="23">
        <f t="shared" si="136"/>
        <v>0</v>
      </c>
      <c r="AE228" s="22">
        <f t="shared" si="132"/>
        <v>0</v>
      </c>
    </row>
    <row r="229" spans="2:31">
      <c r="B229" s="20" t="s">
        <v>53</v>
      </c>
      <c r="C229" s="362"/>
      <c r="D229" s="363"/>
      <c r="E229" s="364"/>
      <c r="F229" s="44"/>
      <c r="G229" s="362"/>
      <c r="H229" s="363"/>
      <c r="I229" s="364"/>
      <c r="J229" s="44"/>
      <c r="K229" s="362"/>
      <c r="L229" s="363"/>
      <c r="M229" s="364"/>
      <c r="N229" s="44"/>
      <c r="P229" s="47"/>
      <c r="Q229" s="21"/>
      <c r="R229" s="7"/>
      <c r="S229" s="7"/>
      <c r="T229" s="22">
        <f t="shared" si="127"/>
        <v>0</v>
      </c>
      <c r="U229" s="22">
        <f t="shared" si="125"/>
        <v>0</v>
      </c>
      <c r="V229" s="22">
        <f t="shared" si="126"/>
        <v>0</v>
      </c>
      <c r="W229" s="7"/>
      <c r="X229" s="22">
        <f t="shared" si="128"/>
        <v>0</v>
      </c>
      <c r="Y229" s="22">
        <f t="shared" si="129"/>
        <v>0</v>
      </c>
      <c r="Z229" s="22">
        <f t="shared" si="130"/>
        <v>0</v>
      </c>
      <c r="AA229" s="7"/>
      <c r="AB229" s="23">
        <f t="shared" ref="AB229:AD229" si="137">AB228</f>
        <v>1</v>
      </c>
      <c r="AC229" s="23">
        <f t="shared" si="137"/>
        <v>0</v>
      </c>
      <c r="AD229" s="23">
        <f t="shared" si="137"/>
        <v>0</v>
      </c>
      <c r="AE229" s="22">
        <f t="shared" si="132"/>
        <v>0</v>
      </c>
    </row>
    <row r="230" spans="2:31">
      <c r="B230" s="9"/>
      <c r="C230" s="24"/>
      <c r="D230" s="7"/>
      <c r="E230" s="7"/>
      <c r="F230" s="25" t="s">
        <v>54</v>
      </c>
      <c r="J230" s="25" t="s">
        <v>55</v>
      </c>
      <c r="M230" s="7"/>
      <c r="N230" s="25" t="s">
        <v>56</v>
      </c>
      <c r="P230" s="19" t="s">
        <v>4</v>
      </c>
      <c r="Q230" s="21"/>
      <c r="R230" s="7"/>
      <c r="S230" s="26" t="s">
        <v>57</v>
      </c>
      <c r="T230" s="22">
        <f>IF(ISNUMBER($F222),1/($H218+SUM(T222:T229)+$H219),0)</f>
        <v>0</v>
      </c>
      <c r="U230" s="22">
        <f>IF(ISNUMBER($F222),1/($H218+SUM(U222:U229)+$H219),0)</f>
        <v>0</v>
      </c>
      <c r="V230" s="22">
        <f>IF(ISNUMBER($F222),1/($H218+SUM(V222:V229)+$H219),0)</f>
        <v>0</v>
      </c>
      <c r="W230" s="7"/>
      <c r="X230" s="7"/>
      <c r="Y230" s="7"/>
      <c r="Z230" s="7"/>
      <c r="AA230" s="7"/>
      <c r="AB230" s="7"/>
      <c r="AC230" s="7"/>
      <c r="AD230" s="7"/>
      <c r="AE230" s="22"/>
    </row>
    <row r="231" spans="2:31" ht="18.75">
      <c r="B231" s="9"/>
      <c r="C231" s="24"/>
      <c r="D231" s="24"/>
      <c r="E231" s="24"/>
      <c r="F231" s="27">
        <f>MAX(0,1-J231-N231)</f>
        <v>1</v>
      </c>
      <c r="G231" s="24"/>
      <c r="H231" s="24"/>
      <c r="I231" s="24"/>
      <c r="J231" s="50"/>
      <c r="K231" s="14"/>
      <c r="L231" s="24"/>
      <c r="M231" s="24"/>
      <c r="N231" s="50"/>
      <c r="O231" s="14"/>
      <c r="P231" s="38" t="str">
        <f>IF(ISNUMBER(P222),SUM(P222:P230)/10,"")</f>
        <v/>
      </c>
      <c r="Q231" s="28" t="s">
        <v>58</v>
      </c>
      <c r="R231" s="7"/>
      <c r="S231" s="26" t="s">
        <v>59</v>
      </c>
      <c r="T231" s="49">
        <f>1-SUM(U231:V231)</f>
        <v>1</v>
      </c>
      <c r="U231" s="49">
        <f>J231</f>
        <v>0</v>
      </c>
      <c r="V231" s="49">
        <f>N231</f>
        <v>0</v>
      </c>
      <c r="W231" s="26"/>
      <c r="X231" s="7"/>
      <c r="Y231" s="7"/>
      <c r="Z231" s="7"/>
      <c r="AA231" s="7"/>
      <c r="AB231" s="7"/>
      <c r="AC231" s="7"/>
      <c r="AD231" s="7"/>
      <c r="AE231" s="22"/>
    </row>
    <row r="232" spans="2:31">
      <c r="B232" s="9"/>
      <c r="C232" s="39" t="str">
        <f>IF(J231+N231&gt;1,"Součet dílčích ploch je vyšší než 100 %!","")</f>
        <v/>
      </c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14"/>
      <c r="P232" s="7"/>
      <c r="Q232" s="21"/>
      <c r="R232" s="7"/>
      <c r="S232" s="23"/>
      <c r="T232" s="22"/>
      <c r="U232" s="22"/>
      <c r="V232" s="22"/>
      <c r="W232" s="7"/>
      <c r="X232" s="7"/>
      <c r="Y232" s="7"/>
      <c r="Z232" s="7"/>
      <c r="AA232" s="7"/>
      <c r="AB232" s="7"/>
      <c r="AC232" s="7"/>
      <c r="AD232" s="7"/>
      <c r="AE232" s="22"/>
    </row>
    <row r="233" spans="2:31" ht="18.75">
      <c r="B233" s="9"/>
      <c r="D233" s="7"/>
      <c r="E233" s="18" t="s">
        <v>60</v>
      </c>
      <c r="F233" s="45"/>
      <c r="G233" s="24" t="s">
        <v>61</v>
      </c>
      <c r="H233" s="7"/>
      <c r="I233" s="7"/>
      <c r="J233" s="7"/>
      <c r="K233" s="29" t="s">
        <v>62</v>
      </c>
      <c r="L233" s="40" t="str">
        <f>IF(ISNUMBER(F222),IF(T234&lt;0.1,1/T233,1/(AE233*1.1))+F233,"")</f>
        <v/>
      </c>
      <c r="M233" s="41"/>
      <c r="N233" s="24" t="s">
        <v>61</v>
      </c>
      <c r="O233" s="7"/>
      <c r="P233" s="7"/>
      <c r="Q233" s="21"/>
      <c r="R233" s="7"/>
      <c r="S233" s="23" t="s">
        <v>63</v>
      </c>
      <c r="T233" s="22">
        <f>IF(ISNUMBER(F222),AVERAGE(V233,AE233),0)</f>
        <v>0</v>
      </c>
      <c r="U233" s="23" t="s">
        <v>64</v>
      </c>
      <c r="V233" s="22">
        <f>IF(ISNUMBER(F222),1/SUMPRODUCT(T231:V231,T230:V230),0)</f>
        <v>0</v>
      </c>
      <c r="W233" s="7"/>
      <c r="X233" s="7"/>
      <c r="Y233" s="7"/>
      <c r="Z233" s="7"/>
      <c r="AA233" s="30"/>
      <c r="AB233" s="30"/>
      <c r="AC233" s="7"/>
      <c r="AD233" s="23" t="s">
        <v>65</v>
      </c>
      <c r="AE233" s="22">
        <f>$H218+SUM(AE222:AE229)+$H219</f>
        <v>0</v>
      </c>
    </row>
    <row r="234" spans="2:31">
      <c r="B234" s="31"/>
      <c r="C234" s="42" t="str">
        <f>IF(T234&lt;=0.1,"","Chyba výpočtu hodnoty U asi převyšuje 10 %. Spočítat tepelné mosty?")</f>
        <v/>
      </c>
      <c r="D234" s="32"/>
      <c r="E234" s="32"/>
      <c r="F234" s="33"/>
      <c r="G234" s="32"/>
      <c r="H234" s="32"/>
      <c r="I234" s="32"/>
      <c r="J234" s="32"/>
      <c r="K234" s="32"/>
      <c r="L234" s="32"/>
      <c r="M234" s="32"/>
      <c r="N234" s="32"/>
      <c r="O234" s="32"/>
      <c r="P234" s="34"/>
      <c r="Q234" s="35"/>
      <c r="R234" s="7"/>
      <c r="S234" s="23" t="s">
        <v>66</v>
      </c>
      <c r="T234" s="36">
        <f>IF(ISNUMBER(F222),(V233-AE233)/(2*T233),0)</f>
        <v>0</v>
      </c>
      <c r="U234" s="37"/>
      <c r="V234" s="7"/>
      <c r="W234" s="23"/>
      <c r="X234" s="7"/>
      <c r="Y234" s="7"/>
      <c r="Z234" s="7"/>
      <c r="AA234" s="7"/>
      <c r="AB234" s="7"/>
      <c r="AC234" s="7"/>
      <c r="AD234" s="7"/>
    </row>
    <row r="235" spans="2:31"/>
    <row r="236" spans="2:31">
      <c r="B236" s="2"/>
      <c r="C236" s="3" t="s">
        <v>35</v>
      </c>
      <c r="D236" s="4" t="s">
        <v>36</v>
      </c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6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</row>
    <row r="237" spans="2:31" ht="15.75">
      <c r="B237" s="9"/>
      <c r="C237" s="48"/>
      <c r="D237" s="46"/>
      <c r="E237" s="43"/>
      <c r="F237" s="43"/>
      <c r="G237" s="43"/>
      <c r="H237" s="43"/>
      <c r="I237" s="43"/>
      <c r="J237" s="43"/>
      <c r="K237" s="43"/>
      <c r="L237" s="43"/>
      <c r="M237" s="43"/>
      <c r="N237" s="151" t="str">
        <f>L254</f>
        <v/>
      </c>
      <c r="O237" s="10"/>
      <c r="P237" s="10"/>
      <c r="Q237" s="11"/>
      <c r="R237" s="7"/>
      <c r="S237" s="7"/>
      <c r="T237" s="12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spans="2:31">
      <c r="B238" s="9"/>
      <c r="Q238" s="11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spans="2:31">
      <c r="B239" s="9"/>
      <c r="D239" s="7"/>
      <c r="E239" s="7"/>
      <c r="G239" s="13" t="s">
        <v>37</v>
      </c>
      <c r="H239" s="45"/>
      <c r="Q239" s="11"/>
      <c r="R239" s="7"/>
      <c r="S239" s="7"/>
      <c r="T239" s="7" t="s">
        <v>38</v>
      </c>
      <c r="U239" s="7"/>
      <c r="V239" s="7"/>
      <c r="W239" s="7"/>
      <c r="X239" s="7" t="s">
        <v>39</v>
      </c>
      <c r="Y239" s="7"/>
      <c r="Z239" s="7"/>
      <c r="AA239" s="7"/>
      <c r="AB239" s="7"/>
      <c r="AC239" s="7"/>
      <c r="AD239" s="7"/>
    </row>
    <row r="240" spans="2:31">
      <c r="B240" s="9"/>
      <c r="D240" s="7"/>
      <c r="E240" s="7"/>
      <c r="G240" s="13" t="s">
        <v>40</v>
      </c>
      <c r="H240" s="45"/>
      <c r="Q240" s="11"/>
      <c r="R240" s="7"/>
      <c r="U240" s="8" t="s">
        <v>41</v>
      </c>
      <c r="Y240" s="8" t="s">
        <v>42</v>
      </c>
    </row>
    <row r="241" spans="2:31" ht="15.75">
      <c r="B241" s="9"/>
      <c r="D241" s="7"/>
      <c r="E241" s="7"/>
      <c r="I241" s="13"/>
      <c r="J241" s="13"/>
      <c r="P241" s="14"/>
      <c r="Q241" s="11"/>
      <c r="R241" s="7"/>
      <c r="S241" s="7"/>
      <c r="T241" s="15"/>
      <c r="U241" s="12"/>
      <c r="V241" s="7"/>
      <c r="W241" s="7"/>
      <c r="X241" s="7"/>
      <c r="Y241" s="7"/>
      <c r="Z241" s="7"/>
      <c r="AA241" s="7"/>
      <c r="AB241" s="7"/>
      <c r="AC241" s="7"/>
      <c r="AD241" s="7"/>
      <c r="AE241" s="7"/>
    </row>
    <row r="242" spans="2:31">
      <c r="B242" s="9"/>
      <c r="C242" s="16" t="s">
        <v>43</v>
      </c>
      <c r="D242" s="7"/>
      <c r="E242" s="7"/>
      <c r="F242" s="17" t="s">
        <v>44</v>
      </c>
      <c r="G242" s="16" t="s">
        <v>45</v>
      </c>
      <c r="H242" s="18"/>
      <c r="I242" s="18"/>
      <c r="J242" s="17" t="s">
        <v>44</v>
      </c>
      <c r="K242" s="16" t="s">
        <v>46</v>
      </c>
      <c r="L242" s="18"/>
      <c r="M242" s="18"/>
      <c r="N242" s="17" t="s">
        <v>44</v>
      </c>
      <c r="P242" s="19" t="s">
        <v>47</v>
      </c>
      <c r="Q242" s="11"/>
      <c r="R242" s="7"/>
      <c r="S242" s="7"/>
      <c r="T242" s="17" t="s">
        <v>48</v>
      </c>
      <c r="U242" s="17" t="s">
        <v>49</v>
      </c>
      <c r="V242" s="17" t="s">
        <v>50</v>
      </c>
      <c r="W242" s="7"/>
      <c r="X242" s="17" t="s">
        <v>48</v>
      </c>
      <c r="Y242" s="17" t="s">
        <v>49</v>
      </c>
      <c r="Z242" s="17" t="s">
        <v>50</v>
      </c>
      <c r="AA242" s="17"/>
      <c r="AB242" s="17" t="s">
        <v>48</v>
      </c>
      <c r="AC242" s="17" t="s">
        <v>49</v>
      </c>
      <c r="AD242" s="17" t="s">
        <v>50</v>
      </c>
      <c r="AE242" s="17" t="s">
        <v>38</v>
      </c>
    </row>
    <row r="243" spans="2:31">
      <c r="B243" s="20" t="s">
        <v>28</v>
      </c>
      <c r="C243" s="362"/>
      <c r="D243" s="363"/>
      <c r="E243" s="364"/>
      <c r="F243" s="44"/>
      <c r="G243" s="362"/>
      <c r="H243" s="363"/>
      <c r="I243" s="364"/>
      <c r="J243" s="44"/>
      <c r="K243" s="362"/>
      <c r="L243" s="363"/>
      <c r="M243" s="364"/>
      <c r="N243" s="44"/>
      <c r="P243" s="47"/>
      <c r="Q243" s="21"/>
      <c r="R243" s="7"/>
      <c r="S243" s="7"/>
      <c r="T243" s="22">
        <f>IF(F243&gt;0,$P243/1000/F243,0)</f>
        <v>0</v>
      </c>
      <c r="U243" s="22">
        <f t="shared" ref="U243:U250" si="138">IF(J243&gt;0,$P243/1000/J243,$T243)</f>
        <v>0</v>
      </c>
      <c r="V243" s="22">
        <f t="shared" ref="V243:V250" si="139">IF(N243&gt;0,$P243/1000/N243,$T243)</f>
        <v>0</v>
      </c>
      <c r="W243" s="7"/>
      <c r="X243" s="22">
        <f>F243</f>
        <v>0</v>
      </c>
      <c r="Y243" s="22">
        <f>IF(J243&gt;0,J243,$X243)</f>
        <v>0</v>
      </c>
      <c r="Z243" s="22">
        <f>IF(N243&gt;0,N243,$X243)</f>
        <v>0</v>
      </c>
      <c r="AA243" s="7"/>
      <c r="AB243" s="23">
        <f>T252</f>
        <v>1</v>
      </c>
      <c r="AC243" s="23">
        <f>U252</f>
        <v>0</v>
      </c>
      <c r="AD243" s="23">
        <f>V252</f>
        <v>0</v>
      </c>
      <c r="AE243" s="22">
        <f>IF(X243&lt;&gt;0,P243/1000/SUMPRODUCT(AB243:AD243,X243:Z243),0)</f>
        <v>0</v>
      </c>
    </row>
    <row r="244" spans="2:31">
      <c r="B244" s="20" t="s">
        <v>29</v>
      </c>
      <c r="C244" s="362"/>
      <c r="D244" s="363"/>
      <c r="E244" s="364"/>
      <c r="F244" s="44"/>
      <c r="G244" s="362"/>
      <c r="H244" s="363"/>
      <c r="I244" s="364"/>
      <c r="J244" s="44"/>
      <c r="K244" s="362"/>
      <c r="L244" s="363"/>
      <c r="M244" s="364"/>
      <c r="N244" s="44"/>
      <c r="P244" s="47"/>
      <c r="Q244" s="21"/>
      <c r="R244" s="7"/>
      <c r="S244" s="7"/>
      <c r="T244" s="22">
        <f t="shared" ref="T244:T250" si="140">IF(F244&gt;0,$P244/1000/F244,0)</f>
        <v>0</v>
      </c>
      <c r="U244" s="22">
        <f t="shared" si="138"/>
        <v>0</v>
      </c>
      <c r="V244" s="22">
        <f t="shared" si="139"/>
        <v>0</v>
      </c>
      <c r="W244" s="7"/>
      <c r="X244" s="22">
        <f t="shared" ref="X244:X250" si="141">F244</f>
        <v>0</v>
      </c>
      <c r="Y244" s="22">
        <f t="shared" ref="Y244:Y250" si="142">IF(J244&gt;0,J244,$X244)</f>
        <v>0</v>
      </c>
      <c r="Z244" s="22">
        <f t="shared" ref="Z244:Z250" si="143">IF(N244&gt;0,N244,$X244)</f>
        <v>0</v>
      </c>
      <c r="AA244" s="7"/>
      <c r="AB244" s="23">
        <f t="shared" ref="AB244:AD244" si="144">AB243</f>
        <v>1</v>
      </c>
      <c r="AC244" s="23">
        <f t="shared" si="144"/>
        <v>0</v>
      </c>
      <c r="AD244" s="23">
        <f t="shared" si="144"/>
        <v>0</v>
      </c>
      <c r="AE244" s="22">
        <f t="shared" ref="AE244:AE250" si="145">IF(X244&lt;&gt;0,P244/1000/SUMPRODUCT(AB244:AD244,X244:Z244),0)</f>
        <v>0</v>
      </c>
    </row>
    <row r="245" spans="2:31">
      <c r="B245" s="20" t="s">
        <v>30</v>
      </c>
      <c r="C245" s="362"/>
      <c r="D245" s="363"/>
      <c r="E245" s="364"/>
      <c r="F245" s="44"/>
      <c r="G245" s="362"/>
      <c r="H245" s="363"/>
      <c r="I245" s="364"/>
      <c r="J245" s="44"/>
      <c r="K245" s="362"/>
      <c r="L245" s="363"/>
      <c r="M245" s="364"/>
      <c r="N245" s="44"/>
      <c r="P245" s="47"/>
      <c r="Q245" s="21"/>
      <c r="R245" s="7"/>
      <c r="S245" s="7"/>
      <c r="T245" s="22">
        <f t="shared" si="140"/>
        <v>0</v>
      </c>
      <c r="U245" s="22">
        <f t="shared" si="138"/>
        <v>0</v>
      </c>
      <c r="V245" s="22">
        <f t="shared" si="139"/>
        <v>0</v>
      </c>
      <c r="W245" s="7"/>
      <c r="X245" s="22">
        <f t="shared" si="141"/>
        <v>0</v>
      </c>
      <c r="Y245" s="22">
        <f t="shared" si="142"/>
        <v>0</v>
      </c>
      <c r="Z245" s="22">
        <f t="shared" si="143"/>
        <v>0</v>
      </c>
      <c r="AA245" s="7"/>
      <c r="AB245" s="23">
        <f t="shared" ref="AB245:AD245" si="146">AB244</f>
        <v>1</v>
      </c>
      <c r="AC245" s="23">
        <f t="shared" si="146"/>
        <v>0</v>
      </c>
      <c r="AD245" s="23">
        <f t="shared" si="146"/>
        <v>0</v>
      </c>
      <c r="AE245" s="22">
        <f t="shared" si="145"/>
        <v>0</v>
      </c>
    </row>
    <row r="246" spans="2:31">
      <c r="B246" s="20" t="s">
        <v>31</v>
      </c>
      <c r="C246" s="362"/>
      <c r="D246" s="363"/>
      <c r="E246" s="364"/>
      <c r="F246" s="44"/>
      <c r="G246" s="362"/>
      <c r="H246" s="363"/>
      <c r="I246" s="364"/>
      <c r="J246" s="44"/>
      <c r="K246" s="362"/>
      <c r="L246" s="363"/>
      <c r="M246" s="364"/>
      <c r="N246" s="44"/>
      <c r="P246" s="47"/>
      <c r="Q246" s="21"/>
      <c r="R246" s="7"/>
      <c r="S246" s="7"/>
      <c r="T246" s="22">
        <f t="shared" si="140"/>
        <v>0</v>
      </c>
      <c r="U246" s="22">
        <f t="shared" si="138"/>
        <v>0</v>
      </c>
      <c r="V246" s="22">
        <f t="shared" si="139"/>
        <v>0</v>
      </c>
      <c r="W246" s="7"/>
      <c r="X246" s="22">
        <f t="shared" si="141"/>
        <v>0</v>
      </c>
      <c r="Y246" s="22">
        <f t="shared" si="142"/>
        <v>0</v>
      </c>
      <c r="Z246" s="22">
        <f t="shared" si="143"/>
        <v>0</v>
      </c>
      <c r="AA246" s="7"/>
      <c r="AB246" s="23">
        <f>AB245</f>
        <v>1</v>
      </c>
      <c r="AC246" s="23">
        <f>AC245</f>
        <v>0</v>
      </c>
      <c r="AD246" s="23">
        <f>AD245</f>
        <v>0</v>
      </c>
      <c r="AE246" s="22">
        <f t="shared" si="145"/>
        <v>0</v>
      </c>
    </row>
    <row r="247" spans="2:31">
      <c r="B247" s="20" t="s">
        <v>32</v>
      </c>
      <c r="C247" s="362"/>
      <c r="D247" s="363"/>
      <c r="E247" s="364"/>
      <c r="F247" s="44"/>
      <c r="G247" s="362"/>
      <c r="H247" s="363"/>
      <c r="I247" s="364"/>
      <c r="J247" s="44"/>
      <c r="K247" s="362"/>
      <c r="L247" s="363"/>
      <c r="M247" s="364"/>
      <c r="N247" s="44"/>
      <c r="P247" s="47"/>
      <c r="Q247" s="21"/>
      <c r="R247" s="7"/>
      <c r="S247" s="7"/>
      <c r="T247" s="22">
        <f t="shared" si="140"/>
        <v>0</v>
      </c>
      <c r="U247" s="22">
        <f t="shared" si="138"/>
        <v>0</v>
      </c>
      <c r="V247" s="22">
        <f t="shared" si="139"/>
        <v>0</v>
      </c>
      <c r="W247" s="7"/>
      <c r="X247" s="22">
        <f t="shared" si="141"/>
        <v>0</v>
      </c>
      <c r="Y247" s="22">
        <f t="shared" si="142"/>
        <v>0</v>
      </c>
      <c r="Z247" s="22">
        <f t="shared" si="143"/>
        <v>0</v>
      </c>
      <c r="AA247" s="7"/>
      <c r="AB247" s="23">
        <f t="shared" ref="AB247:AD247" si="147">AB246</f>
        <v>1</v>
      </c>
      <c r="AC247" s="23">
        <f t="shared" si="147"/>
        <v>0</v>
      </c>
      <c r="AD247" s="23">
        <f t="shared" si="147"/>
        <v>0</v>
      </c>
      <c r="AE247" s="22">
        <f t="shared" si="145"/>
        <v>0</v>
      </c>
    </row>
    <row r="248" spans="2:31">
      <c r="B248" s="20" t="s">
        <v>51</v>
      </c>
      <c r="C248" s="362"/>
      <c r="D248" s="363"/>
      <c r="E248" s="364"/>
      <c r="F248" s="44"/>
      <c r="G248" s="362"/>
      <c r="H248" s="363"/>
      <c r="I248" s="364"/>
      <c r="J248" s="44"/>
      <c r="K248" s="362"/>
      <c r="L248" s="363"/>
      <c r="M248" s="364"/>
      <c r="N248" s="44"/>
      <c r="P248" s="47"/>
      <c r="Q248" s="21"/>
      <c r="R248" s="7"/>
      <c r="S248" s="7"/>
      <c r="T248" s="22">
        <f t="shared" si="140"/>
        <v>0</v>
      </c>
      <c r="U248" s="22">
        <f t="shared" si="138"/>
        <v>0</v>
      </c>
      <c r="V248" s="22">
        <f t="shared" si="139"/>
        <v>0</v>
      </c>
      <c r="W248" s="7"/>
      <c r="X248" s="22">
        <f t="shared" si="141"/>
        <v>0</v>
      </c>
      <c r="Y248" s="22">
        <f t="shared" si="142"/>
        <v>0</v>
      </c>
      <c r="Z248" s="22">
        <f t="shared" si="143"/>
        <v>0</v>
      </c>
      <c r="AA248" s="7"/>
      <c r="AB248" s="23">
        <f t="shared" ref="AB248:AD248" si="148">AB247</f>
        <v>1</v>
      </c>
      <c r="AC248" s="23">
        <f t="shared" si="148"/>
        <v>0</v>
      </c>
      <c r="AD248" s="23">
        <f t="shared" si="148"/>
        <v>0</v>
      </c>
      <c r="AE248" s="22">
        <f t="shared" si="145"/>
        <v>0</v>
      </c>
    </row>
    <row r="249" spans="2:31">
      <c r="B249" s="20" t="s">
        <v>52</v>
      </c>
      <c r="C249" s="362"/>
      <c r="D249" s="363"/>
      <c r="E249" s="364"/>
      <c r="F249" s="44"/>
      <c r="G249" s="362"/>
      <c r="H249" s="363"/>
      <c r="I249" s="364"/>
      <c r="J249" s="44"/>
      <c r="K249" s="362"/>
      <c r="L249" s="363"/>
      <c r="M249" s="364"/>
      <c r="N249" s="44"/>
      <c r="P249" s="47"/>
      <c r="Q249" s="21"/>
      <c r="R249" s="7"/>
      <c r="S249" s="7"/>
      <c r="T249" s="22">
        <f t="shared" si="140"/>
        <v>0</v>
      </c>
      <c r="U249" s="22">
        <f t="shared" si="138"/>
        <v>0</v>
      </c>
      <c r="V249" s="22">
        <f t="shared" si="139"/>
        <v>0</v>
      </c>
      <c r="W249" s="7"/>
      <c r="X249" s="22">
        <f t="shared" si="141"/>
        <v>0</v>
      </c>
      <c r="Y249" s="22">
        <f t="shared" si="142"/>
        <v>0</v>
      </c>
      <c r="Z249" s="22">
        <f t="shared" si="143"/>
        <v>0</v>
      </c>
      <c r="AA249" s="7"/>
      <c r="AB249" s="23">
        <f t="shared" ref="AB249:AD249" si="149">AB248</f>
        <v>1</v>
      </c>
      <c r="AC249" s="23">
        <f t="shared" si="149"/>
        <v>0</v>
      </c>
      <c r="AD249" s="23">
        <f t="shared" si="149"/>
        <v>0</v>
      </c>
      <c r="AE249" s="22">
        <f t="shared" si="145"/>
        <v>0</v>
      </c>
    </row>
    <row r="250" spans="2:31">
      <c r="B250" s="20" t="s">
        <v>53</v>
      </c>
      <c r="C250" s="362"/>
      <c r="D250" s="363"/>
      <c r="E250" s="364"/>
      <c r="F250" s="44"/>
      <c r="G250" s="362"/>
      <c r="H250" s="363"/>
      <c r="I250" s="364"/>
      <c r="J250" s="44"/>
      <c r="K250" s="362"/>
      <c r="L250" s="363"/>
      <c r="M250" s="364"/>
      <c r="N250" s="44"/>
      <c r="P250" s="47"/>
      <c r="Q250" s="21"/>
      <c r="R250" s="7"/>
      <c r="S250" s="7"/>
      <c r="T250" s="22">
        <f t="shared" si="140"/>
        <v>0</v>
      </c>
      <c r="U250" s="22">
        <f t="shared" si="138"/>
        <v>0</v>
      </c>
      <c r="V250" s="22">
        <f t="shared" si="139"/>
        <v>0</v>
      </c>
      <c r="W250" s="7"/>
      <c r="X250" s="22">
        <f t="shared" si="141"/>
        <v>0</v>
      </c>
      <c r="Y250" s="22">
        <f t="shared" si="142"/>
        <v>0</v>
      </c>
      <c r="Z250" s="22">
        <f t="shared" si="143"/>
        <v>0</v>
      </c>
      <c r="AA250" s="7"/>
      <c r="AB250" s="23">
        <f t="shared" ref="AB250:AD250" si="150">AB249</f>
        <v>1</v>
      </c>
      <c r="AC250" s="23">
        <f t="shared" si="150"/>
        <v>0</v>
      </c>
      <c r="AD250" s="23">
        <f t="shared" si="150"/>
        <v>0</v>
      </c>
      <c r="AE250" s="22">
        <f t="shared" si="145"/>
        <v>0</v>
      </c>
    </row>
    <row r="251" spans="2:31">
      <c r="B251" s="9"/>
      <c r="C251" s="24"/>
      <c r="D251" s="7"/>
      <c r="E251" s="7"/>
      <c r="F251" s="25" t="s">
        <v>54</v>
      </c>
      <c r="J251" s="25" t="s">
        <v>55</v>
      </c>
      <c r="M251" s="7"/>
      <c r="N251" s="25" t="s">
        <v>56</v>
      </c>
      <c r="P251" s="19" t="s">
        <v>4</v>
      </c>
      <c r="Q251" s="21"/>
      <c r="R251" s="7"/>
      <c r="S251" s="26" t="s">
        <v>57</v>
      </c>
      <c r="T251" s="22">
        <f>IF(ISNUMBER($F243),1/($H239+SUM(T243:T250)+$H240),0)</f>
        <v>0</v>
      </c>
      <c r="U251" s="22">
        <f>IF(ISNUMBER($F243),1/($H239+SUM(U243:U250)+$H240),0)</f>
        <v>0</v>
      </c>
      <c r="V251" s="22">
        <f>IF(ISNUMBER($F243),1/($H239+SUM(V243:V250)+$H240),0)</f>
        <v>0</v>
      </c>
      <c r="W251" s="7"/>
      <c r="X251" s="7"/>
      <c r="Y251" s="7"/>
      <c r="Z251" s="7"/>
      <c r="AA251" s="7"/>
      <c r="AB251" s="7"/>
      <c r="AC251" s="7"/>
      <c r="AD251" s="7"/>
      <c r="AE251" s="22"/>
    </row>
    <row r="252" spans="2:31" ht="18.75">
      <c r="B252" s="9"/>
      <c r="C252" s="24"/>
      <c r="D252" s="24"/>
      <c r="E252" s="24"/>
      <c r="F252" s="27">
        <f>MAX(0,1-J252-N252)</f>
        <v>1</v>
      </c>
      <c r="G252" s="24"/>
      <c r="H252" s="24"/>
      <c r="I252" s="24"/>
      <c r="J252" s="50"/>
      <c r="K252" s="14"/>
      <c r="L252" s="24"/>
      <c r="M252" s="24"/>
      <c r="N252" s="50"/>
      <c r="O252" s="14"/>
      <c r="P252" s="38" t="str">
        <f>IF(ISNUMBER(P243),SUM(P243:P251)/10,"")</f>
        <v/>
      </c>
      <c r="Q252" s="28" t="s">
        <v>58</v>
      </c>
      <c r="R252" s="7"/>
      <c r="S252" s="26" t="s">
        <v>59</v>
      </c>
      <c r="T252" s="49">
        <f>1-SUM(U252:V252)</f>
        <v>1</v>
      </c>
      <c r="U252" s="49">
        <f>J252</f>
        <v>0</v>
      </c>
      <c r="V252" s="49">
        <f>N252</f>
        <v>0</v>
      </c>
      <c r="W252" s="26"/>
      <c r="X252" s="7"/>
      <c r="Y252" s="7"/>
      <c r="Z252" s="7"/>
      <c r="AA252" s="7"/>
      <c r="AB252" s="7"/>
      <c r="AC252" s="7"/>
      <c r="AD252" s="7"/>
      <c r="AE252" s="22"/>
    </row>
    <row r="253" spans="2:31">
      <c r="B253" s="9"/>
      <c r="C253" s="39" t="str">
        <f>IF(J252+N252&gt;1,"Součet dílčích ploch je vyšší než 100 %!","")</f>
        <v/>
      </c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14"/>
      <c r="P253" s="7"/>
      <c r="Q253" s="21"/>
      <c r="R253" s="7"/>
      <c r="S253" s="23"/>
      <c r="T253" s="22"/>
      <c r="U253" s="22"/>
      <c r="V253" s="22"/>
      <c r="W253" s="7"/>
      <c r="X253" s="7"/>
      <c r="Y253" s="7"/>
      <c r="Z253" s="7"/>
      <c r="AA253" s="7"/>
      <c r="AB253" s="7"/>
      <c r="AC253" s="7"/>
      <c r="AD253" s="7"/>
      <c r="AE253" s="22"/>
    </row>
    <row r="254" spans="2:31" ht="18.75">
      <c r="B254" s="9"/>
      <c r="D254" s="7"/>
      <c r="E254" s="18" t="s">
        <v>60</v>
      </c>
      <c r="F254" s="45"/>
      <c r="G254" s="24" t="s">
        <v>61</v>
      </c>
      <c r="H254" s="7"/>
      <c r="I254" s="7"/>
      <c r="J254" s="7"/>
      <c r="K254" s="29" t="s">
        <v>62</v>
      </c>
      <c r="L254" s="40" t="str">
        <f>IF(ISNUMBER(F243),IF(T255&lt;0.1,1/T254,1/(AE254*1.1))+F254,"")</f>
        <v/>
      </c>
      <c r="M254" s="41"/>
      <c r="N254" s="24" t="s">
        <v>61</v>
      </c>
      <c r="O254" s="7"/>
      <c r="P254" s="7"/>
      <c r="Q254" s="21"/>
      <c r="R254" s="7"/>
      <c r="S254" s="23" t="s">
        <v>63</v>
      </c>
      <c r="T254" s="22">
        <f>IF(ISNUMBER(F243),AVERAGE(V254,AE254),0)</f>
        <v>0</v>
      </c>
      <c r="U254" s="23" t="s">
        <v>64</v>
      </c>
      <c r="V254" s="22">
        <f>IF(ISNUMBER(F243),1/SUMPRODUCT(T252:V252,T251:V251),0)</f>
        <v>0</v>
      </c>
      <c r="W254" s="7"/>
      <c r="X254" s="7"/>
      <c r="Y254" s="7"/>
      <c r="Z254" s="7"/>
      <c r="AA254" s="30"/>
      <c r="AB254" s="30"/>
      <c r="AC254" s="7"/>
      <c r="AD254" s="23" t="s">
        <v>65</v>
      </c>
      <c r="AE254" s="22">
        <f>$H239+SUM(AE243:AE250)+$H240</f>
        <v>0</v>
      </c>
    </row>
    <row r="255" spans="2:31">
      <c r="B255" s="31"/>
      <c r="C255" s="42" t="str">
        <f>IF(T255&lt;=0.1,"","Chyba výpočtu hodnoty U asi převyšuje 10 %. Spočítat tepelné mosty?")</f>
        <v/>
      </c>
      <c r="D255" s="32"/>
      <c r="E255" s="32"/>
      <c r="F255" s="33"/>
      <c r="G255" s="32"/>
      <c r="H255" s="32"/>
      <c r="I255" s="32"/>
      <c r="J255" s="32"/>
      <c r="K255" s="32"/>
      <c r="L255" s="32"/>
      <c r="M255" s="32"/>
      <c r="N255" s="32"/>
      <c r="O255" s="32"/>
      <c r="P255" s="34"/>
      <c r="Q255" s="35"/>
      <c r="R255" s="7"/>
      <c r="S255" s="23" t="s">
        <v>66</v>
      </c>
      <c r="T255" s="36">
        <f>IF(ISNUMBER(F243),(V254-AE254)/(2*T254),0)</f>
        <v>0</v>
      </c>
      <c r="U255" s="37"/>
      <c r="V255" s="7"/>
      <c r="W255" s="23"/>
      <c r="X255" s="7"/>
      <c r="Y255" s="7"/>
      <c r="Z255" s="7"/>
      <c r="AA255" s="7"/>
      <c r="AB255" s="7"/>
      <c r="AC255" s="7"/>
      <c r="AD255" s="7"/>
    </row>
    <row r="256" spans="2:31"/>
    <row r="257" spans="2:31">
      <c r="B257" s="2"/>
      <c r="C257" s="3" t="s">
        <v>35</v>
      </c>
      <c r="D257" s="4" t="s">
        <v>36</v>
      </c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6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</row>
    <row r="258" spans="2:31" ht="15.75">
      <c r="B258" s="9"/>
      <c r="C258" s="48"/>
      <c r="D258" s="46"/>
      <c r="E258" s="43"/>
      <c r="F258" s="43"/>
      <c r="G258" s="43"/>
      <c r="H258" s="43"/>
      <c r="I258" s="43"/>
      <c r="J258" s="43"/>
      <c r="K258" s="43"/>
      <c r="L258" s="43"/>
      <c r="M258" s="43"/>
      <c r="N258" s="151" t="str">
        <f>L275</f>
        <v/>
      </c>
      <c r="O258" s="10"/>
      <c r="P258" s="10"/>
      <c r="Q258" s="11"/>
      <c r="R258" s="7"/>
      <c r="S258" s="7"/>
      <c r="T258" s="12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spans="2:31">
      <c r="B259" s="9"/>
      <c r="Q259" s="11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</row>
    <row r="260" spans="2:31">
      <c r="B260" s="9"/>
      <c r="D260" s="7"/>
      <c r="E260" s="7"/>
      <c r="G260" s="13" t="s">
        <v>37</v>
      </c>
      <c r="H260" s="45"/>
      <c r="Q260" s="11"/>
      <c r="R260" s="7"/>
      <c r="S260" s="7"/>
      <c r="T260" s="7" t="s">
        <v>38</v>
      </c>
      <c r="U260" s="7"/>
      <c r="V260" s="7"/>
      <c r="W260" s="7"/>
      <c r="X260" s="7" t="s">
        <v>39</v>
      </c>
      <c r="Y260" s="7"/>
      <c r="Z260" s="7"/>
      <c r="AA260" s="7"/>
      <c r="AB260" s="7"/>
      <c r="AC260" s="7"/>
      <c r="AD260" s="7"/>
    </row>
    <row r="261" spans="2:31">
      <c r="B261" s="9"/>
      <c r="D261" s="7"/>
      <c r="E261" s="7"/>
      <c r="G261" s="13" t="s">
        <v>40</v>
      </c>
      <c r="H261" s="45"/>
      <c r="Q261" s="11"/>
      <c r="R261" s="7"/>
      <c r="U261" s="8" t="s">
        <v>41</v>
      </c>
      <c r="Y261" s="8" t="s">
        <v>42</v>
      </c>
    </row>
    <row r="262" spans="2:31" ht="15.75">
      <c r="B262" s="9"/>
      <c r="D262" s="7"/>
      <c r="E262" s="7"/>
      <c r="I262" s="13"/>
      <c r="J262" s="13"/>
      <c r="P262" s="14"/>
      <c r="Q262" s="11"/>
      <c r="R262" s="7"/>
      <c r="S262" s="7"/>
      <c r="T262" s="15"/>
      <c r="U262" s="12"/>
      <c r="V262" s="7"/>
      <c r="W262" s="7"/>
      <c r="X262" s="7"/>
      <c r="Y262" s="7"/>
      <c r="Z262" s="7"/>
      <c r="AA262" s="7"/>
      <c r="AB262" s="7"/>
      <c r="AC262" s="7"/>
      <c r="AD262" s="7"/>
      <c r="AE262" s="7"/>
    </row>
    <row r="263" spans="2:31">
      <c r="B263" s="9"/>
      <c r="C263" s="16" t="s">
        <v>43</v>
      </c>
      <c r="D263" s="7"/>
      <c r="E263" s="7"/>
      <c r="F263" s="17" t="s">
        <v>44</v>
      </c>
      <c r="G263" s="16" t="s">
        <v>45</v>
      </c>
      <c r="H263" s="18"/>
      <c r="I263" s="18"/>
      <c r="J263" s="17" t="s">
        <v>44</v>
      </c>
      <c r="K263" s="16" t="s">
        <v>46</v>
      </c>
      <c r="L263" s="18"/>
      <c r="M263" s="18"/>
      <c r="N263" s="17" t="s">
        <v>44</v>
      </c>
      <c r="P263" s="19" t="s">
        <v>47</v>
      </c>
      <c r="Q263" s="11"/>
      <c r="R263" s="7"/>
      <c r="S263" s="7"/>
      <c r="T263" s="17" t="s">
        <v>48</v>
      </c>
      <c r="U263" s="17" t="s">
        <v>49</v>
      </c>
      <c r="V263" s="17" t="s">
        <v>50</v>
      </c>
      <c r="W263" s="7"/>
      <c r="X263" s="17" t="s">
        <v>48</v>
      </c>
      <c r="Y263" s="17" t="s">
        <v>49</v>
      </c>
      <c r="Z263" s="17" t="s">
        <v>50</v>
      </c>
      <c r="AA263" s="17"/>
      <c r="AB263" s="17" t="s">
        <v>48</v>
      </c>
      <c r="AC263" s="17" t="s">
        <v>49</v>
      </c>
      <c r="AD263" s="17" t="s">
        <v>50</v>
      </c>
      <c r="AE263" s="17" t="s">
        <v>38</v>
      </c>
    </row>
    <row r="264" spans="2:31">
      <c r="B264" s="20" t="s">
        <v>28</v>
      </c>
      <c r="C264" s="362"/>
      <c r="D264" s="363"/>
      <c r="E264" s="364"/>
      <c r="F264" s="44"/>
      <c r="G264" s="362"/>
      <c r="H264" s="363"/>
      <c r="I264" s="364"/>
      <c r="J264" s="44"/>
      <c r="K264" s="362"/>
      <c r="L264" s="363"/>
      <c r="M264" s="364"/>
      <c r="N264" s="44"/>
      <c r="P264" s="47"/>
      <c r="Q264" s="21"/>
      <c r="R264" s="7"/>
      <c r="S264" s="7"/>
      <c r="T264" s="22">
        <f>IF(F264&gt;0,$P264/1000/F264,0)</f>
        <v>0</v>
      </c>
      <c r="U264" s="22">
        <f t="shared" ref="U264:U271" si="151">IF(J264&gt;0,$P264/1000/J264,$T264)</f>
        <v>0</v>
      </c>
      <c r="V264" s="22">
        <f t="shared" ref="V264:V271" si="152">IF(N264&gt;0,$P264/1000/N264,$T264)</f>
        <v>0</v>
      </c>
      <c r="W264" s="7"/>
      <c r="X264" s="22">
        <f>F264</f>
        <v>0</v>
      </c>
      <c r="Y264" s="22">
        <f>IF(J264&gt;0,J264,$X264)</f>
        <v>0</v>
      </c>
      <c r="Z264" s="22">
        <f>IF(N264&gt;0,N264,$X264)</f>
        <v>0</v>
      </c>
      <c r="AA264" s="7"/>
      <c r="AB264" s="23">
        <f>T273</f>
        <v>1</v>
      </c>
      <c r="AC264" s="23">
        <f>U273</f>
        <v>0</v>
      </c>
      <c r="AD264" s="23">
        <f>V273</f>
        <v>0</v>
      </c>
      <c r="AE264" s="22">
        <f>IF(X264&lt;&gt;0,P264/1000/SUMPRODUCT(AB264:AD264,X264:Z264),0)</f>
        <v>0</v>
      </c>
    </row>
    <row r="265" spans="2:31">
      <c r="B265" s="20" t="s">
        <v>29</v>
      </c>
      <c r="C265" s="362"/>
      <c r="D265" s="363"/>
      <c r="E265" s="364"/>
      <c r="F265" s="44"/>
      <c r="G265" s="362"/>
      <c r="H265" s="363"/>
      <c r="I265" s="364"/>
      <c r="J265" s="44"/>
      <c r="K265" s="362"/>
      <c r="L265" s="363"/>
      <c r="M265" s="364"/>
      <c r="N265" s="44"/>
      <c r="P265" s="47"/>
      <c r="Q265" s="21"/>
      <c r="R265" s="7"/>
      <c r="S265" s="7"/>
      <c r="T265" s="22">
        <f t="shared" ref="T265:T271" si="153">IF(F265&gt;0,$P265/1000/F265,0)</f>
        <v>0</v>
      </c>
      <c r="U265" s="22">
        <f t="shared" si="151"/>
        <v>0</v>
      </c>
      <c r="V265" s="22">
        <f t="shared" si="152"/>
        <v>0</v>
      </c>
      <c r="W265" s="7"/>
      <c r="X265" s="22">
        <f t="shared" ref="X265:X271" si="154">F265</f>
        <v>0</v>
      </c>
      <c r="Y265" s="22">
        <f t="shared" ref="Y265:Y271" si="155">IF(J265&gt;0,J265,$X265)</f>
        <v>0</v>
      </c>
      <c r="Z265" s="22">
        <f t="shared" ref="Z265:Z271" si="156">IF(N265&gt;0,N265,$X265)</f>
        <v>0</v>
      </c>
      <c r="AA265" s="7"/>
      <c r="AB265" s="23">
        <f t="shared" ref="AB265:AD265" si="157">AB264</f>
        <v>1</v>
      </c>
      <c r="AC265" s="23">
        <f t="shared" si="157"/>
        <v>0</v>
      </c>
      <c r="AD265" s="23">
        <f t="shared" si="157"/>
        <v>0</v>
      </c>
      <c r="AE265" s="22">
        <f t="shared" ref="AE265:AE271" si="158">IF(X265&lt;&gt;0,P265/1000/SUMPRODUCT(AB265:AD265,X265:Z265),0)</f>
        <v>0</v>
      </c>
    </row>
    <row r="266" spans="2:31">
      <c r="B266" s="20" t="s">
        <v>30</v>
      </c>
      <c r="C266" s="362"/>
      <c r="D266" s="363"/>
      <c r="E266" s="364"/>
      <c r="F266" s="44"/>
      <c r="G266" s="362"/>
      <c r="H266" s="363"/>
      <c r="I266" s="364"/>
      <c r="J266" s="44"/>
      <c r="K266" s="362"/>
      <c r="L266" s="363"/>
      <c r="M266" s="364"/>
      <c r="N266" s="44"/>
      <c r="P266" s="47"/>
      <c r="Q266" s="21"/>
      <c r="R266" s="7"/>
      <c r="S266" s="7"/>
      <c r="T266" s="22">
        <f t="shared" si="153"/>
        <v>0</v>
      </c>
      <c r="U266" s="22">
        <f t="shared" si="151"/>
        <v>0</v>
      </c>
      <c r="V266" s="22">
        <f t="shared" si="152"/>
        <v>0</v>
      </c>
      <c r="W266" s="7"/>
      <c r="X266" s="22">
        <f t="shared" si="154"/>
        <v>0</v>
      </c>
      <c r="Y266" s="22">
        <f t="shared" si="155"/>
        <v>0</v>
      </c>
      <c r="Z266" s="22">
        <f t="shared" si="156"/>
        <v>0</v>
      </c>
      <c r="AA266" s="7"/>
      <c r="AB266" s="23">
        <f t="shared" ref="AB266:AD266" si="159">AB265</f>
        <v>1</v>
      </c>
      <c r="AC266" s="23">
        <f t="shared" si="159"/>
        <v>0</v>
      </c>
      <c r="AD266" s="23">
        <f t="shared" si="159"/>
        <v>0</v>
      </c>
      <c r="AE266" s="22">
        <f t="shared" si="158"/>
        <v>0</v>
      </c>
    </row>
    <row r="267" spans="2:31">
      <c r="B267" s="20" t="s">
        <v>31</v>
      </c>
      <c r="C267" s="362"/>
      <c r="D267" s="363"/>
      <c r="E267" s="364"/>
      <c r="F267" s="44"/>
      <c r="G267" s="362"/>
      <c r="H267" s="363"/>
      <c r="I267" s="364"/>
      <c r="J267" s="44"/>
      <c r="K267" s="362"/>
      <c r="L267" s="363"/>
      <c r="M267" s="364"/>
      <c r="N267" s="44"/>
      <c r="P267" s="47"/>
      <c r="Q267" s="21"/>
      <c r="R267" s="7"/>
      <c r="S267" s="7"/>
      <c r="T267" s="22">
        <f t="shared" si="153"/>
        <v>0</v>
      </c>
      <c r="U267" s="22">
        <f t="shared" si="151"/>
        <v>0</v>
      </c>
      <c r="V267" s="22">
        <f t="shared" si="152"/>
        <v>0</v>
      </c>
      <c r="W267" s="7"/>
      <c r="X267" s="22">
        <f t="shared" si="154"/>
        <v>0</v>
      </c>
      <c r="Y267" s="22">
        <f t="shared" si="155"/>
        <v>0</v>
      </c>
      <c r="Z267" s="22">
        <f t="shared" si="156"/>
        <v>0</v>
      </c>
      <c r="AA267" s="7"/>
      <c r="AB267" s="23">
        <f>AB266</f>
        <v>1</v>
      </c>
      <c r="AC267" s="23">
        <f>AC266</f>
        <v>0</v>
      </c>
      <c r="AD267" s="23">
        <f>AD266</f>
        <v>0</v>
      </c>
      <c r="AE267" s="22">
        <f t="shared" si="158"/>
        <v>0</v>
      </c>
    </row>
    <row r="268" spans="2:31">
      <c r="B268" s="20" t="s">
        <v>32</v>
      </c>
      <c r="C268" s="362"/>
      <c r="D268" s="363"/>
      <c r="E268" s="364"/>
      <c r="F268" s="44"/>
      <c r="G268" s="362"/>
      <c r="H268" s="363"/>
      <c r="I268" s="364"/>
      <c r="J268" s="44"/>
      <c r="K268" s="362"/>
      <c r="L268" s="363"/>
      <c r="M268" s="364"/>
      <c r="N268" s="44"/>
      <c r="P268" s="47"/>
      <c r="Q268" s="21"/>
      <c r="R268" s="7"/>
      <c r="S268" s="7"/>
      <c r="T268" s="22">
        <f t="shared" si="153"/>
        <v>0</v>
      </c>
      <c r="U268" s="22">
        <f t="shared" si="151"/>
        <v>0</v>
      </c>
      <c r="V268" s="22">
        <f t="shared" si="152"/>
        <v>0</v>
      </c>
      <c r="W268" s="7"/>
      <c r="X268" s="22">
        <f t="shared" si="154"/>
        <v>0</v>
      </c>
      <c r="Y268" s="22">
        <f t="shared" si="155"/>
        <v>0</v>
      </c>
      <c r="Z268" s="22">
        <f t="shared" si="156"/>
        <v>0</v>
      </c>
      <c r="AA268" s="7"/>
      <c r="AB268" s="23">
        <f t="shared" ref="AB268:AD268" si="160">AB267</f>
        <v>1</v>
      </c>
      <c r="AC268" s="23">
        <f t="shared" si="160"/>
        <v>0</v>
      </c>
      <c r="AD268" s="23">
        <f t="shared" si="160"/>
        <v>0</v>
      </c>
      <c r="AE268" s="22">
        <f t="shared" si="158"/>
        <v>0</v>
      </c>
    </row>
    <row r="269" spans="2:31">
      <c r="B269" s="20" t="s">
        <v>51</v>
      </c>
      <c r="C269" s="362"/>
      <c r="D269" s="363"/>
      <c r="E269" s="364"/>
      <c r="F269" s="44"/>
      <c r="G269" s="362"/>
      <c r="H269" s="363"/>
      <c r="I269" s="364"/>
      <c r="J269" s="44"/>
      <c r="K269" s="362"/>
      <c r="L269" s="363"/>
      <c r="M269" s="364"/>
      <c r="N269" s="44"/>
      <c r="P269" s="47"/>
      <c r="Q269" s="21"/>
      <c r="R269" s="7"/>
      <c r="S269" s="7"/>
      <c r="T269" s="22">
        <f t="shared" si="153"/>
        <v>0</v>
      </c>
      <c r="U269" s="22">
        <f t="shared" si="151"/>
        <v>0</v>
      </c>
      <c r="V269" s="22">
        <f t="shared" si="152"/>
        <v>0</v>
      </c>
      <c r="W269" s="7"/>
      <c r="X269" s="22">
        <f t="shared" si="154"/>
        <v>0</v>
      </c>
      <c r="Y269" s="22">
        <f t="shared" si="155"/>
        <v>0</v>
      </c>
      <c r="Z269" s="22">
        <f t="shared" si="156"/>
        <v>0</v>
      </c>
      <c r="AA269" s="7"/>
      <c r="AB269" s="23">
        <f t="shared" ref="AB269:AD269" si="161">AB268</f>
        <v>1</v>
      </c>
      <c r="AC269" s="23">
        <f t="shared" si="161"/>
        <v>0</v>
      </c>
      <c r="AD269" s="23">
        <f t="shared" si="161"/>
        <v>0</v>
      </c>
      <c r="AE269" s="22">
        <f t="shared" si="158"/>
        <v>0</v>
      </c>
    </row>
    <row r="270" spans="2:31">
      <c r="B270" s="20" t="s">
        <v>52</v>
      </c>
      <c r="C270" s="362"/>
      <c r="D270" s="363"/>
      <c r="E270" s="364"/>
      <c r="F270" s="44"/>
      <c r="G270" s="362"/>
      <c r="H270" s="363"/>
      <c r="I270" s="364"/>
      <c r="J270" s="44"/>
      <c r="K270" s="362"/>
      <c r="L270" s="363"/>
      <c r="M270" s="364"/>
      <c r="N270" s="44"/>
      <c r="P270" s="47"/>
      <c r="Q270" s="21"/>
      <c r="R270" s="7"/>
      <c r="S270" s="7"/>
      <c r="T270" s="22">
        <f t="shared" si="153"/>
        <v>0</v>
      </c>
      <c r="U270" s="22">
        <f t="shared" si="151"/>
        <v>0</v>
      </c>
      <c r="V270" s="22">
        <f t="shared" si="152"/>
        <v>0</v>
      </c>
      <c r="W270" s="7"/>
      <c r="X270" s="22">
        <f t="shared" si="154"/>
        <v>0</v>
      </c>
      <c r="Y270" s="22">
        <f t="shared" si="155"/>
        <v>0</v>
      </c>
      <c r="Z270" s="22">
        <f t="shared" si="156"/>
        <v>0</v>
      </c>
      <c r="AA270" s="7"/>
      <c r="AB270" s="23">
        <f t="shared" ref="AB270:AD270" si="162">AB269</f>
        <v>1</v>
      </c>
      <c r="AC270" s="23">
        <f t="shared" si="162"/>
        <v>0</v>
      </c>
      <c r="AD270" s="23">
        <f t="shared" si="162"/>
        <v>0</v>
      </c>
      <c r="AE270" s="22">
        <f t="shared" si="158"/>
        <v>0</v>
      </c>
    </row>
    <row r="271" spans="2:31">
      <c r="B271" s="20" t="s">
        <v>53</v>
      </c>
      <c r="C271" s="362"/>
      <c r="D271" s="363"/>
      <c r="E271" s="364"/>
      <c r="F271" s="44"/>
      <c r="G271" s="362"/>
      <c r="H271" s="363"/>
      <c r="I271" s="364"/>
      <c r="J271" s="44"/>
      <c r="K271" s="362"/>
      <c r="L271" s="363"/>
      <c r="M271" s="364"/>
      <c r="N271" s="44"/>
      <c r="P271" s="47"/>
      <c r="Q271" s="21"/>
      <c r="R271" s="7"/>
      <c r="S271" s="7"/>
      <c r="T271" s="22">
        <f t="shared" si="153"/>
        <v>0</v>
      </c>
      <c r="U271" s="22">
        <f t="shared" si="151"/>
        <v>0</v>
      </c>
      <c r="V271" s="22">
        <f t="shared" si="152"/>
        <v>0</v>
      </c>
      <c r="W271" s="7"/>
      <c r="X271" s="22">
        <f t="shared" si="154"/>
        <v>0</v>
      </c>
      <c r="Y271" s="22">
        <f t="shared" si="155"/>
        <v>0</v>
      </c>
      <c r="Z271" s="22">
        <f t="shared" si="156"/>
        <v>0</v>
      </c>
      <c r="AA271" s="7"/>
      <c r="AB271" s="23">
        <f t="shared" ref="AB271:AD271" si="163">AB270</f>
        <v>1</v>
      </c>
      <c r="AC271" s="23">
        <f t="shared" si="163"/>
        <v>0</v>
      </c>
      <c r="AD271" s="23">
        <f t="shared" si="163"/>
        <v>0</v>
      </c>
      <c r="AE271" s="22">
        <f t="shared" si="158"/>
        <v>0</v>
      </c>
    </row>
    <row r="272" spans="2:31">
      <c r="B272" s="9"/>
      <c r="C272" s="24"/>
      <c r="D272" s="7"/>
      <c r="E272" s="7"/>
      <c r="F272" s="25" t="s">
        <v>54</v>
      </c>
      <c r="J272" s="25" t="s">
        <v>55</v>
      </c>
      <c r="M272" s="7"/>
      <c r="N272" s="25" t="s">
        <v>56</v>
      </c>
      <c r="P272" s="19" t="s">
        <v>4</v>
      </c>
      <c r="Q272" s="21"/>
      <c r="R272" s="7"/>
      <c r="S272" s="26" t="s">
        <v>57</v>
      </c>
      <c r="T272" s="22">
        <f>IF(ISNUMBER($F264),1/($H260+SUM(T264:T271)+$H261),0)</f>
        <v>0</v>
      </c>
      <c r="U272" s="22">
        <f>IF(ISNUMBER($F264),1/($H260+SUM(U264:U271)+$H261),0)</f>
        <v>0</v>
      </c>
      <c r="V272" s="22">
        <f>IF(ISNUMBER($F264),1/($H260+SUM(V264:V271)+$H261),0)</f>
        <v>0</v>
      </c>
      <c r="W272" s="7"/>
      <c r="X272" s="7"/>
      <c r="Y272" s="7"/>
      <c r="Z272" s="7"/>
      <c r="AA272" s="7"/>
      <c r="AB272" s="7"/>
      <c r="AC272" s="7"/>
      <c r="AD272" s="7"/>
      <c r="AE272" s="22"/>
    </row>
    <row r="273" spans="2:31" ht="18.75">
      <c r="B273" s="9"/>
      <c r="C273" s="24"/>
      <c r="D273" s="24"/>
      <c r="E273" s="24"/>
      <c r="F273" s="27">
        <f>MAX(0,1-J273-N273)</f>
        <v>1</v>
      </c>
      <c r="G273" s="24"/>
      <c r="H273" s="24"/>
      <c r="I273" s="24"/>
      <c r="J273" s="50"/>
      <c r="K273" s="14"/>
      <c r="L273" s="24"/>
      <c r="M273" s="24"/>
      <c r="N273" s="50"/>
      <c r="O273" s="14"/>
      <c r="P273" s="38" t="str">
        <f>IF(ISNUMBER(P264),SUM(P264:P272)/10,"")</f>
        <v/>
      </c>
      <c r="Q273" s="28" t="s">
        <v>58</v>
      </c>
      <c r="R273" s="7"/>
      <c r="S273" s="26" t="s">
        <v>59</v>
      </c>
      <c r="T273" s="49">
        <f>1-SUM(U273:V273)</f>
        <v>1</v>
      </c>
      <c r="U273" s="49">
        <f>J273</f>
        <v>0</v>
      </c>
      <c r="V273" s="49">
        <f>N273</f>
        <v>0</v>
      </c>
      <c r="W273" s="26"/>
      <c r="X273" s="7"/>
      <c r="Y273" s="7"/>
      <c r="Z273" s="7"/>
      <c r="AA273" s="7"/>
      <c r="AB273" s="7"/>
      <c r="AC273" s="7"/>
      <c r="AD273" s="7"/>
      <c r="AE273" s="22"/>
    </row>
    <row r="274" spans="2:31">
      <c r="B274" s="9"/>
      <c r="C274" s="39" t="str">
        <f>IF(J273+N273&gt;1,"Součet dílčích ploch je vyšší než 100 %!","")</f>
        <v/>
      </c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14"/>
      <c r="P274" s="7"/>
      <c r="Q274" s="21"/>
      <c r="R274" s="7"/>
      <c r="S274" s="23"/>
      <c r="T274" s="22"/>
      <c r="U274" s="22"/>
      <c r="V274" s="22"/>
      <c r="W274" s="7"/>
      <c r="X274" s="7"/>
      <c r="Y274" s="7"/>
      <c r="Z274" s="7"/>
      <c r="AA274" s="7"/>
      <c r="AB274" s="7"/>
      <c r="AC274" s="7"/>
      <c r="AD274" s="7"/>
      <c r="AE274" s="22"/>
    </row>
    <row r="275" spans="2:31" ht="18.75">
      <c r="B275" s="9"/>
      <c r="D275" s="7"/>
      <c r="E275" s="18" t="s">
        <v>60</v>
      </c>
      <c r="F275" s="45"/>
      <c r="G275" s="24" t="s">
        <v>61</v>
      </c>
      <c r="H275" s="7"/>
      <c r="I275" s="7"/>
      <c r="J275" s="7"/>
      <c r="K275" s="29" t="s">
        <v>62</v>
      </c>
      <c r="L275" s="40" t="str">
        <f>IF(ISNUMBER(F264),IF(T276&lt;0.1,1/T275,1/(AE275*1.1))+F275,"")</f>
        <v/>
      </c>
      <c r="M275" s="41"/>
      <c r="N275" s="24" t="s">
        <v>61</v>
      </c>
      <c r="O275" s="7"/>
      <c r="P275" s="7"/>
      <c r="Q275" s="21"/>
      <c r="R275" s="7"/>
      <c r="S275" s="23" t="s">
        <v>63</v>
      </c>
      <c r="T275" s="22">
        <f>IF(ISNUMBER(F264),AVERAGE(V275,AE275),0)</f>
        <v>0</v>
      </c>
      <c r="U275" s="23" t="s">
        <v>64</v>
      </c>
      <c r="V275" s="22">
        <f>IF(ISNUMBER(F264),1/SUMPRODUCT(T273:V273,T272:V272),0)</f>
        <v>0</v>
      </c>
      <c r="W275" s="7"/>
      <c r="X275" s="7"/>
      <c r="Y275" s="7"/>
      <c r="Z275" s="7"/>
      <c r="AA275" s="30"/>
      <c r="AB275" s="30"/>
      <c r="AC275" s="7"/>
      <c r="AD275" s="23" t="s">
        <v>65</v>
      </c>
      <c r="AE275" s="22">
        <f>$H260+SUM(AE264:AE271)+$H261</f>
        <v>0</v>
      </c>
    </row>
    <row r="276" spans="2:31">
      <c r="B276" s="31"/>
      <c r="C276" s="42" t="str">
        <f>IF(T276&lt;=0.1,"","Chyba výpočtu hodnoty U asi převyšuje 10 %. Spočítat tepelné mosty?")</f>
        <v/>
      </c>
      <c r="D276" s="32"/>
      <c r="E276" s="32"/>
      <c r="F276" s="33"/>
      <c r="G276" s="32"/>
      <c r="H276" s="32"/>
      <c r="I276" s="32"/>
      <c r="J276" s="32"/>
      <c r="K276" s="32"/>
      <c r="L276" s="32"/>
      <c r="M276" s="32"/>
      <c r="N276" s="32"/>
      <c r="O276" s="32"/>
      <c r="P276" s="34"/>
      <c r="Q276" s="35"/>
      <c r="R276" s="7"/>
      <c r="S276" s="23" t="s">
        <v>66</v>
      </c>
      <c r="T276" s="36">
        <f>IF(ISNUMBER(F264),(V275-AE275)/(2*T275),0)</f>
        <v>0</v>
      </c>
      <c r="U276" s="37"/>
      <c r="V276" s="7"/>
      <c r="W276" s="23"/>
      <c r="X276" s="7"/>
      <c r="Y276" s="7"/>
      <c r="Z276" s="7"/>
      <c r="AA276" s="7"/>
      <c r="AB276" s="7"/>
      <c r="AC276" s="7"/>
      <c r="AD276" s="7"/>
    </row>
    <row r="277" spans="2:31"/>
    <row r="278" spans="2:31">
      <c r="B278" s="2"/>
      <c r="C278" s="3" t="s">
        <v>35</v>
      </c>
      <c r="D278" s="4" t="s">
        <v>36</v>
      </c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6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</row>
    <row r="279" spans="2:31" ht="15.75">
      <c r="B279" s="9"/>
      <c r="C279" s="48"/>
      <c r="D279" s="46"/>
      <c r="E279" s="43"/>
      <c r="F279" s="43"/>
      <c r="G279" s="43"/>
      <c r="H279" s="43"/>
      <c r="I279" s="43"/>
      <c r="J279" s="43"/>
      <c r="K279" s="43"/>
      <c r="L279" s="43"/>
      <c r="M279" s="43"/>
      <c r="N279" s="151" t="str">
        <f>L296</f>
        <v/>
      </c>
      <c r="O279" s="10"/>
      <c r="P279" s="10"/>
      <c r="Q279" s="11"/>
      <c r="R279" s="7"/>
      <c r="S279" s="7"/>
      <c r="T279" s="12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spans="2:31">
      <c r="B280" s="9"/>
      <c r="Q280" s="11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spans="2:31">
      <c r="B281" s="9"/>
      <c r="D281" s="7"/>
      <c r="E281" s="7"/>
      <c r="G281" s="13" t="s">
        <v>37</v>
      </c>
      <c r="H281" s="45"/>
      <c r="Q281" s="11"/>
      <c r="R281" s="7"/>
      <c r="S281" s="7"/>
      <c r="T281" s="7" t="s">
        <v>38</v>
      </c>
      <c r="U281" s="7"/>
      <c r="V281" s="7"/>
      <c r="W281" s="7"/>
      <c r="X281" s="7" t="s">
        <v>39</v>
      </c>
      <c r="Y281" s="7"/>
      <c r="Z281" s="7"/>
      <c r="AA281" s="7"/>
      <c r="AB281" s="7"/>
      <c r="AC281" s="7"/>
      <c r="AD281" s="7"/>
    </row>
    <row r="282" spans="2:31">
      <c r="B282" s="9"/>
      <c r="D282" s="7"/>
      <c r="E282" s="7"/>
      <c r="G282" s="13" t="s">
        <v>40</v>
      </c>
      <c r="H282" s="45"/>
      <c r="Q282" s="11"/>
      <c r="R282" s="7"/>
      <c r="U282" s="8" t="s">
        <v>41</v>
      </c>
      <c r="Y282" s="8" t="s">
        <v>42</v>
      </c>
    </row>
    <row r="283" spans="2:31" ht="15.75">
      <c r="B283" s="9"/>
      <c r="D283" s="7"/>
      <c r="E283" s="7"/>
      <c r="I283" s="13"/>
      <c r="J283" s="13"/>
      <c r="P283" s="14"/>
      <c r="Q283" s="11"/>
      <c r="R283" s="7"/>
      <c r="S283" s="7"/>
      <c r="T283" s="15"/>
      <c r="U283" s="12"/>
      <c r="V283" s="7"/>
      <c r="W283" s="7"/>
      <c r="X283" s="7"/>
      <c r="Y283" s="7"/>
      <c r="Z283" s="7"/>
      <c r="AA283" s="7"/>
      <c r="AB283" s="7"/>
      <c r="AC283" s="7"/>
      <c r="AD283" s="7"/>
      <c r="AE283" s="7"/>
    </row>
    <row r="284" spans="2:31">
      <c r="B284" s="9"/>
      <c r="C284" s="16" t="s">
        <v>43</v>
      </c>
      <c r="D284" s="7"/>
      <c r="E284" s="7"/>
      <c r="F284" s="17" t="s">
        <v>44</v>
      </c>
      <c r="G284" s="16" t="s">
        <v>45</v>
      </c>
      <c r="H284" s="18"/>
      <c r="I284" s="18"/>
      <c r="J284" s="17" t="s">
        <v>44</v>
      </c>
      <c r="K284" s="16" t="s">
        <v>46</v>
      </c>
      <c r="L284" s="18"/>
      <c r="M284" s="18"/>
      <c r="N284" s="17" t="s">
        <v>44</v>
      </c>
      <c r="P284" s="19" t="s">
        <v>47</v>
      </c>
      <c r="Q284" s="11"/>
      <c r="R284" s="7"/>
      <c r="S284" s="7"/>
      <c r="T284" s="17" t="s">
        <v>48</v>
      </c>
      <c r="U284" s="17" t="s">
        <v>49</v>
      </c>
      <c r="V284" s="17" t="s">
        <v>50</v>
      </c>
      <c r="W284" s="7"/>
      <c r="X284" s="17" t="s">
        <v>48</v>
      </c>
      <c r="Y284" s="17" t="s">
        <v>49</v>
      </c>
      <c r="Z284" s="17" t="s">
        <v>50</v>
      </c>
      <c r="AA284" s="17"/>
      <c r="AB284" s="17" t="s">
        <v>48</v>
      </c>
      <c r="AC284" s="17" t="s">
        <v>49</v>
      </c>
      <c r="AD284" s="17" t="s">
        <v>50</v>
      </c>
      <c r="AE284" s="17" t="s">
        <v>38</v>
      </c>
    </row>
    <row r="285" spans="2:31">
      <c r="B285" s="20" t="s">
        <v>28</v>
      </c>
      <c r="C285" s="362"/>
      <c r="D285" s="363"/>
      <c r="E285" s="364"/>
      <c r="F285" s="44"/>
      <c r="G285" s="362"/>
      <c r="H285" s="363"/>
      <c r="I285" s="364"/>
      <c r="J285" s="44"/>
      <c r="K285" s="362"/>
      <c r="L285" s="363"/>
      <c r="M285" s="364"/>
      <c r="N285" s="44"/>
      <c r="P285" s="47"/>
      <c r="Q285" s="21"/>
      <c r="R285" s="7"/>
      <c r="S285" s="7"/>
      <c r="T285" s="22">
        <f>IF(F285&gt;0,$P285/1000/F285,0)</f>
        <v>0</v>
      </c>
      <c r="U285" s="22">
        <f t="shared" ref="U285:U292" si="164">IF(J285&gt;0,$P285/1000/J285,$T285)</f>
        <v>0</v>
      </c>
      <c r="V285" s="22">
        <f t="shared" ref="V285:V292" si="165">IF(N285&gt;0,$P285/1000/N285,$T285)</f>
        <v>0</v>
      </c>
      <c r="W285" s="7"/>
      <c r="X285" s="22">
        <f>F285</f>
        <v>0</v>
      </c>
      <c r="Y285" s="22">
        <f>IF(J285&gt;0,J285,$X285)</f>
        <v>0</v>
      </c>
      <c r="Z285" s="22">
        <f>IF(N285&gt;0,N285,$X285)</f>
        <v>0</v>
      </c>
      <c r="AA285" s="7"/>
      <c r="AB285" s="23">
        <f>T294</f>
        <v>1</v>
      </c>
      <c r="AC285" s="23">
        <f>U294</f>
        <v>0</v>
      </c>
      <c r="AD285" s="23">
        <f>V294</f>
        <v>0</v>
      </c>
      <c r="AE285" s="22">
        <f>IF(X285&lt;&gt;0,P285/1000/SUMPRODUCT(AB285:AD285,X285:Z285),0)</f>
        <v>0</v>
      </c>
    </row>
    <row r="286" spans="2:31">
      <c r="B286" s="20" t="s">
        <v>29</v>
      </c>
      <c r="C286" s="362"/>
      <c r="D286" s="363"/>
      <c r="E286" s="364"/>
      <c r="F286" s="44"/>
      <c r="G286" s="362"/>
      <c r="H286" s="363"/>
      <c r="I286" s="364"/>
      <c r="J286" s="44"/>
      <c r="K286" s="362"/>
      <c r="L286" s="363"/>
      <c r="M286" s="364"/>
      <c r="N286" s="44"/>
      <c r="P286" s="47"/>
      <c r="Q286" s="21"/>
      <c r="R286" s="7"/>
      <c r="S286" s="7"/>
      <c r="T286" s="22">
        <f t="shared" ref="T286:T292" si="166">IF(F286&gt;0,$P286/1000/F286,0)</f>
        <v>0</v>
      </c>
      <c r="U286" s="22">
        <f t="shared" si="164"/>
        <v>0</v>
      </c>
      <c r="V286" s="22">
        <f t="shared" si="165"/>
        <v>0</v>
      </c>
      <c r="W286" s="7"/>
      <c r="X286" s="22">
        <f t="shared" ref="X286:X292" si="167">F286</f>
        <v>0</v>
      </c>
      <c r="Y286" s="22">
        <f t="shared" ref="Y286:Y292" si="168">IF(J286&gt;0,J286,$X286)</f>
        <v>0</v>
      </c>
      <c r="Z286" s="22">
        <f t="shared" ref="Z286:Z292" si="169">IF(N286&gt;0,N286,$X286)</f>
        <v>0</v>
      </c>
      <c r="AA286" s="7"/>
      <c r="AB286" s="23">
        <f t="shared" ref="AB286:AD286" si="170">AB285</f>
        <v>1</v>
      </c>
      <c r="AC286" s="23">
        <f t="shared" si="170"/>
        <v>0</v>
      </c>
      <c r="AD286" s="23">
        <f t="shared" si="170"/>
        <v>0</v>
      </c>
      <c r="AE286" s="22">
        <f t="shared" ref="AE286:AE292" si="171">IF(X286&lt;&gt;0,P286/1000/SUMPRODUCT(AB286:AD286,X286:Z286),0)</f>
        <v>0</v>
      </c>
    </row>
    <row r="287" spans="2:31">
      <c r="B287" s="20" t="s">
        <v>30</v>
      </c>
      <c r="C287" s="362"/>
      <c r="D287" s="363"/>
      <c r="E287" s="364"/>
      <c r="F287" s="44"/>
      <c r="G287" s="362"/>
      <c r="H287" s="363"/>
      <c r="I287" s="364"/>
      <c r="J287" s="44"/>
      <c r="K287" s="362"/>
      <c r="L287" s="363"/>
      <c r="M287" s="364"/>
      <c r="N287" s="44"/>
      <c r="P287" s="47"/>
      <c r="Q287" s="21"/>
      <c r="R287" s="7"/>
      <c r="S287" s="7"/>
      <c r="T287" s="22">
        <f t="shared" si="166"/>
        <v>0</v>
      </c>
      <c r="U287" s="22">
        <f t="shared" si="164"/>
        <v>0</v>
      </c>
      <c r="V287" s="22">
        <f t="shared" si="165"/>
        <v>0</v>
      </c>
      <c r="W287" s="7"/>
      <c r="X287" s="22">
        <f t="shared" si="167"/>
        <v>0</v>
      </c>
      <c r="Y287" s="22">
        <f t="shared" si="168"/>
        <v>0</v>
      </c>
      <c r="Z287" s="22">
        <f t="shared" si="169"/>
        <v>0</v>
      </c>
      <c r="AA287" s="7"/>
      <c r="AB287" s="23">
        <f t="shared" ref="AB287:AD287" si="172">AB286</f>
        <v>1</v>
      </c>
      <c r="AC287" s="23">
        <f t="shared" si="172"/>
        <v>0</v>
      </c>
      <c r="AD287" s="23">
        <f t="shared" si="172"/>
        <v>0</v>
      </c>
      <c r="AE287" s="22">
        <f t="shared" si="171"/>
        <v>0</v>
      </c>
    </row>
    <row r="288" spans="2:31">
      <c r="B288" s="20" t="s">
        <v>31</v>
      </c>
      <c r="C288" s="362"/>
      <c r="D288" s="363"/>
      <c r="E288" s="364"/>
      <c r="F288" s="44"/>
      <c r="G288" s="362"/>
      <c r="H288" s="363"/>
      <c r="I288" s="364"/>
      <c r="J288" s="44"/>
      <c r="K288" s="362"/>
      <c r="L288" s="363"/>
      <c r="M288" s="364"/>
      <c r="N288" s="44"/>
      <c r="P288" s="47"/>
      <c r="Q288" s="21"/>
      <c r="R288" s="7"/>
      <c r="S288" s="7"/>
      <c r="T288" s="22">
        <f t="shared" si="166"/>
        <v>0</v>
      </c>
      <c r="U288" s="22">
        <f t="shared" si="164"/>
        <v>0</v>
      </c>
      <c r="V288" s="22">
        <f t="shared" si="165"/>
        <v>0</v>
      </c>
      <c r="W288" s="7"/>
      <c r="X288" s="22">
        <f t="shared" si="167"/>
        <v>0</v>
      </c>
      <c r="Y288" s="22">
        <f t="shared" si="168"/>
        <v>0</v>
      </c>
      <c r="Z288" s="22">
        <f t="shared" si="169"/>
        <v>0</v>
      </c>
      <c r="AA288" s="7"/>
      <c r="AB288" s="23">
        <f>AB287</f>
        <v>1</v>
      </c>
      <c r="AC288" s="23">
        <f>AC287</f>
        <v>0</v>
      </c>
      <c r="AD288" s="23">
        <f>AD287</f>
        <v>0</v>
      </c>
      <c r="AE288" s="22">
        <f t="shared" si="171"/>
        <v>0</v>
      </c>
    </row>
    <row r="289" spans="2:31">
      <c r="B289" s="20" t="s">
        <v>32</v>
      </c>
      <c r="C289" s="362"/>
      <c r="D289" s="363"/>
      <c r="E289" s="364"/>
      <c r="F289" s="44"/>
      <c r="G289" s="362"/>
      <c r="H289" s="363"/>
      <c r="I289" s="364"/>
      <c r="J289" s="44"/>
      <c r="K289" s="362"/>
      <c r="L289" s="363"/>
      <c r="M289" s="364"/>
      <c r="N289" s="44"/>
      <c r="P289" s="47"/>
      <c r="Q289" s="21"/>
      <c r="R289" s="7"/>
      <c r="S289" s="7"/>
      <c r="T289" s="22">
        <f t="shared" si="166"/>
        <v>0</v>
      </c>
      <c r="U289" s="22">
        <f t="shared" si="164"/>
        <v>0</v>
      </c>
      <c r="V289" s="22">
        <f t="shared" si="165"/>
        <v>0</v>
      </c>
      <c r="W289" s="7"/>
      <c r="X289" s="22">
        <f t="shared" si="167"/>
        <v>0</v>
      </c>
      <c r="Y289" s="22">
        <f t="shared" si="168"/>
        <v>0</v>
      </c>
      <c r="Z289" s="22">
        <f t="shared" si="169"/>
        <v>0</v>
      </c>
      <c r="AA289" s="7"/>
      <c r="AB289" s="23">
        <f t="shared" ref="AB289:AD289" si="173">AB288</f>
        <v>1</v>
      </c>
      <c r="AC289" s="23">
        <f t="shared" si="173"/>
        <v>0</v>
      </c>
      <c r="AD289" s="23">
        <f t="shared" si="173"/>
        <v>0</v>
      </c>
      <c r="AE289" s="22">
        <f t="shared" si="171"/>
        <v>0</v>
      </c>
    </row>
    <row r="290" spans="2:31">
      <c r="B290" s="20" t="s">
        <v>51</v>
      </c>
      <c r="C290" s="362"/>
      <c r="D290" s="363"/>
      <c r="E290" s="364"/>
      <c r="F290" s="44"/>
      <c r="G290" s="362"/>
      <c r="H290" s="363"/>
      <c r="I290" s="364"/>
      <c r="J290" s="44"/>
      <c r="K290" s="362"/>
      <c r="L290" s="363"/>
      <c r="M290" s="364"/>
      <c r="N290" s="44"/>
      <c r="P290" s="47"/>
      <c r="Q290" s="21"/>
      <c r="R290" s="7"/>
      <c r="S290" s="7"/>
      <c r="T290" s="22">
        <f t="shared" si="166"/>
        <v>0</v>
      </c>
      <c r="U290" s="22">
        <f t="shared" si="164"/>
        <v>0</v>
      </c>
      <c r="V290" s="22">
        <f t="shared" si="165"/>
        <v>0</v>
      </c>
      <c r="W290" s="7"/>
      <c r="X290" s="22">
        <f t="shared" si="167"/>
        <v>0</v>
      </c>
      <c r="Y290" s="22">
        <f t="shared" si="168"/>
        <v>0</v>
      </c>
      <c r="Z290" s="22">
        <f t="shared" si="169"/>
        <v>0</v>
      </c>
      <c r="AA290" s="7"/>
      <c r="AB290" s="23">
        <f t="shared" ref="AB290:AD290" si="174">AB289</f>
        <v>1</v>
      </c>
      <c r="AC290" s="23">
        <f t="shared" si="174"/>
        <v>0</v>
      </c>
      <c r="AD290" s="23">
        <f t="shared" si="174"/>
        <v>0</v>
      </c>
      <c r="AE290" s="22">
        <f t="shared" si="171"/>
        <v>0</v>
      </c>
    </row>
    <row r="291" spans="2:31">
      <c r="B291" s="20" t="s">
        <v>52</v>
      </c>
      <c r="C291" s="362"/>
      <c r="D291" s="363"/>
      <c r="E291" s="364"/>
      <c r="F291" s="44"/>
      <c r="G291" s="362"/>
      <c r="H291" s="363"/>
      <c r="I291" s="364"/>
      <c r="J291" s="44"/>
      <c r="K291" s="362"/>
      <c r="L291" s="363"/>
      <c r="M291" s="364"/>
      <c r="N291" s="44"/>
      <c r="P291" s="47"/>
      <c r="Q291" s="21"/>
      <c r="R291" s="7"/>
      <c r="S291" s="7"/>
      <c r="T291" s="22">
        <f t="shared" si="166"/>
        <v>0</v>
      </c>
      <c r="U291" s="22">
        <f t="shared" si="164"/>
        <v>0</v>
      </c>
      <c r="V291" s="22">
        <f t="shared" si="165"/>
        <v>0</v>
      </c>
      <c r="W291" s="7"/>
      <c r="X291" s="22">
        <f t="shared" si="167"/>
        <v>0</v>
      </c>
      <c r="Y291" s="22">
        <f t="shared" si="168"/>
        <v>0</v>
      </c>
      <c r="Z291" s="22">
        <f t="shared" si="169"/>
        <v>0</v>
      </c>
      <c r="AA291" s="7"/>
      <c r="AB291" s="23">
        <f t="shared" ref="AB291:AD291" si="175">AB290</f>
        <v>1</v>
      </c>
      <c r="AC291" s="23">
        <f t="shared" si="175"/>
        <v>0</v>
      </c>
      <c r="AD291" s="23">
        <f t="shared" si="175"/>
        <v>0</v>
      </c>
      <c r="AE291" s="22">
        <f t="shared" si="171"/>
        <v>0</v>
      </c>
    </row>
    <row r="292" spans="2:31">
      <c r="B292" s="20" t="s">
        <v>53</v>
      </c>
      <c r="C292" s="362"/>
      <c r="D292" s="363"/>
      <c r="E292" s="364"/>
      <c r="F292" s="44"/>
      <c r="G292" s="362"/>
      <c r="H292" s="363"/>
      <c r="I292" s="364"/>
      <c r="J292" s="44"/>
      <c r="K292" s="362"/>
      <c r="L292" s="363"/>
      <c r="M292" s="364"/>
      <c r="N292" s="44"/>
      <c r="P292" s="47"/>
      <c r="Q292" s="21"/>
      <c r="R292" s="7"/>
      <c r="S292" s="7"/>
      <c r="T292" s="22">
        <f t="shared" si="166"/>
        <v>0</v>
      </c>
      <c r="U292" s="22">
        <f t="shared" si="164"/>
        <v>0</v>
      </c>
      <c r="V292" s="22">
        <f t="shared" si="165"/>
        <v>0</v>
      </c>
      <c r="W292" s="7"/>
      <c r="X292" s="22">
        <f t="shared" si="167"/>
        <v>0</v>
      </c>
      <c r="Y292" s="22">
        <f t="shared" si="168"/>
        <v>0</v>
      </c>
      <c r="Z292" s="22">
        <f t="shared" si="169"/>
        <v>0</v>
      </c>
      <c r="AA292" s="7"/>
      <c r="AB292" s="23">
        <f t="shared" ref="AB292:AD292" si="176">AB291</f>
        <v>1</v>
      </c>
      <c r="AC292" s="23">
        <f t="shared" si="176"/>
        <v>0</v>
      </c>
      <c r="AD292" s="23">
        <f t="shared" si="176"/>
        <v>0</v>
      </c>
      <c r="AE292" s="22">
        <f t="shared" si="171"/>
        <v>0</v>
      </c>
    </row>
    <row r="293" spans="2:31">
      <c r="B293" s="9"/>
      <c r="C293" s="24"/>
      <c r="D293" s="7"/>
      <c r="E293" s="7"/>
      <c r="F293" s="25" t="s">
        <v>54</v>
      </c>
      <c r="J293" s="25" t="s">
        <v>55</v>
      </c>
      <c r="M293" s="7"/>
      <c r="N293" s="25" t="s">
        <v>56</v>
      </c>
      <c r="P293" s="19" t="s">
        <v>4</v>
      </c>
      <c r="Q293" s="21"/>
      <c r="R293" s="7"/>
      <c r="S293" s="26" t="s">
        <v>57</v>
      </c>
      <c r="T293" s="22">
        <f>IF(ISNUMBER($F285),1/($H281+SUM(T285:T292)+$H282),0)</f>
        <v>0</v>
      </c>
      <c r="U293" s="22">
        <f>IF(ISNUMBER($F285),1/($H281+SUM(U285:U292)+$H282),0)</f>
        <v>0</v>
      </c>
      <c r="V293" s="22">
        <f>IF(ISNUMBER($F285),1/($H281+SUM(V285:V292)+$H282),0)</f>
        <v>0</v>
      </c>
      <c r="W293" s="7"/>
      <c r="X293" s="7"/>
      <c r="Y293" s="7"/>
      <c r="Z293" s="7"/>
      <c r="AA293" s="7"/>
      <c r="AB293" s="7"/>
      <c r="AC293" s="7"/>
      <c r="AD293" s="7"/>
      <c r="AE293" s="22"/>
    </row>
    <row r="294" spans="2:31" ht="18.75">
      <c r="B294" s="9"/>
      <c r="C294" s="24"/>
      <c r="D294" s="24"/>
      <c r="E294" s="24"/>
      <c r="F294" s="27">
        <f>MAX(0,1-J294-N294)</f>
        <v>1</v>
      </c>
      <c r="G294" s="24"/>
      <c r="H294" s="24"/>
      <c r="I294" s="24"/>
      <c r="J294" s="50"/>
      <c r="K294" s="14"/>
      <c r="L294" s="24"/>
      <c r="M294" s="24"/>
      <c r="N294" s="50"/>
      <c r="O294" s="14"/>
      <c r="P294" s="38" t="str">
        <f>IF(ISNUMBER(P285),SUM(P285:P293)/10,"")</f>
        <v/>
      </c>
      <c r="Q294" s="28" t="s">
        <v>58</v>
      </c>
      <c r="R294" s="7"/>
      <c r="S294" s="26" t="s">
        <v>59</v>
      </c>
      <c r="T294" s="49">
        <f>1-SUM(U294:V294)</f>
        <v>1</v>
      </c>
      <c r="U294" s="49">
        <f>J294</f>
        <v>0</v>
      </c>
      <c r="V294" s="49">
        <f>N294</f>
        <v>0</v>
      </c>
      <c r="W294" s="26"/>
      <c r="X294" s="7"/>
      <c r="Y294" s="7"/>
      <c r="Z294" s="7"/>
      <c r="AA294" s="7"/>
      <c r="AB294" s="7"/>
      <c r="AC294" s="7"/>
      <c r="AD294" s="7"/>
      <c r="AE294" s="22"/>
    </row>
    <row r="295" spans="2:31">
      <c r="B295" s="9"/>
      <c r="C295" s="39" t="str">
        <f>IF(J294+N294&gt;1,"Součet dílčích ploch je vyšší než 100 %!","")</f>
        <v/>
      </c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14"/>
      <c r="P295" s="7"/>
      <c r="Q295" s="21"/>
      <c r="R295" s="7"/>
      <c r="S295" s="23"/>
      <c r="T295" s="22"/>
      <c r="U295" s="22"/>
      <c r="V295" s="22"/>
      <c r="W295" s="7"/>
      <c r="X295" s="7"/>
      <c r="Y295" s="7"/>
      <c r="Z295" s="7"/>
      <c r="AA295" s="7"/>
      <c r="AB295" s="7"/>
      <c r="AC295" s="7"/>
      <c r="AD295" s="7"/>
      <c r="AE295" s="22"/>
    </row>
    <row r="296" spans="2:31" ht="18.75">
      <c r="B296" s="9"/>
      <c r="D296" s="7"/>
      <c r="E296" s="18" t="s">
        <v>60</v>
      </c>
      <c r="F296" s="45"/>
      <c r="G296" s="24" t="s">
        <v>61</v>
      </c>
      <c r="H296" s="7"/>
      <c r="I296" s="7"/>
      <c r="J296" s="7"/>
      <c r="K296" s="29" t="s">
        <v>62</v>
      </c>
      <c r="L296" s="40" t="str">
        <f>IF(ISNUMBER(F285),IF(T297&lt;0.1,1/T296,1/(AE296*1.1))+F296,"")</f>
        <v/>
      </c>
      <c r="M296" s="41"/>
      <c r="N296" s="24" t="s">
        <v>61</v>
      </c>
      <c r="O296" s="7"/>
      <c r="P296" s="7"/>
      <c r="Q296" s="21"/>
      <c r="R296" s="7"/>
      <c r="S296" s="23" t="s">
        <v>63</v>
      </c>
      <c r="T296" s="22">
        <f>IF(ISNUMBER(F285),AVERAGE(V296,AE296),0)</f>
        <v>0</v>
      </c>
      <c r="U296" s="23" t="s">
        <v>64</v>
      </c>
      <c r="V296" s="22">
        <f>IF(ISNUMBER(F285),1/SUMPRODUCT(T294:V294,T293:V293),0)</f>
        <v>0</v>
      </c>
      <c r="W296" s="7"/>
      <c r="X296" s="7"/>
      <c r="Y296" s="7"/>
      <c r="Z296" s="7"/>
      <c r="AA296" s="30"/>
      <c r="AB296" s="30"/>
      <c r="AC296" s="7"/>
      <c r="AD296" s="23" t="s">
        <v>65</v>
      </c>
      <c r="AE296" s="22">
        <f>$H281+SUM(AE285:AE292)+$H282</f>
        <v>0</v>
      </c>
    </row>
    <row r="297" spans="2:31">
      <c r="B297" s="31"/>
      <c r="C297" s="42" t="str">
        <f>IF(T297&lt;=0.1,"","Chyba výpočtu hodnoty U asi převyšuje 10 %. Spočítat tepelné mosty?")</f>
        <v/>
      </c>
      <c r="D297" s="32"/>
      <c r="E297" s="32"/>
      <c r="F297" s="33"/>
      <c r="G297" s="32"/>
      <c r="H297" s="32"/>
      <c r="I297" s="32"/>
      <c r="J297" s="32"/>
      <c r="K297" s="32"/>
      <c r="L297" s="32"/>
      <c r="M297" s="32"/>
      <c r="N297" s="32"/>
      <c r="O297" s="32"/>
      <c r="P297" s="34"/>
      <c r="Q297" s="35"/>
      <c r="R297" s="7"/>
      <c r="S297" s="23" t="s">
        <v>66</v>
      </c>
      <c r="T297" s="36">
        <f>IF(ISNUMBER(F285),(V296-AE296)/(2*T296),0)</f>
        <v>0</v>
      </c>
      <c r="U297" s="37"/>
      <c r="V297" s="7"/>
      <c r="W297" s="23"/>
      <c r="X297" s="7"/>
      <c r="Y297" s="7"/>
      <c r="Z297" s="7"/>
      <c r="AA297" s="7"/>
      <c r="AB297" s="7"/>
      <c r="AC297" s="7"/>
      <c r="AD297" s="7"/>
    </row>
    <row r="298" spans="2:31"/>
    <row r="299" spans="2:31"/>
    <row r="300" spans="2:31"/>
    <row r="301" spans="2:31"/>
    <row r="302" spans="2:31"/>
    <row r="303" spans="2:31"/>
    <row r="304" spans="2:31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</sheetData>
  <sheetProtection algorithmName="SHA-512" hashValue="dDNW11J+G2ZyD3lLpJYIGP93HK5nVUDaPx2Idyr0zH+HP7KwEpVrDsr0v6bTMDFniCbxHuBy5A7fKMeyJxajGw==" saltValue="adZWuXVOyi+U1ZfiSDzfDA==" spinCount="100000" sheet="1" objects="1" scenarios="1"/>
  <mergeCells count="338">
    <mergeCell ref="C15:E15"/>
    <mergeCell ref="G15:I15"/>
    <mergeCell ref="K15:M15"/>
    <mergeCell ref="C12:E12"/>
    <mergeCell ref="G12:I12"/>
    <mergeCell ref="K12:M12"/>
    <mergeCell ref="C13:E13"/>
    <mergeCell ref="G13:I13"/>
    <mergeCell ref="K13:M13"/>
    <mergeCell ref="C14:E14"/>
    <mergeCell ref="G14:I14"/>
    <mergeCell ref="K14:M14"/>
    <mergeCell ref="C17:E17"/>
    <mergeCell ref="G17:I17"/>
    <mergeCell ref="K17:M17"/>
    <mergeCell ref="C18:E18"/>
    <mergeCell ref="G18:I18"/>
    <mergeCell ref="K18:M18"/>
    <mergeCell ref="C16:E16"/>
    <mergeCell ref="G16:I16"/>
    <mergeCell ref="K16:M16"/>
    <mergeCell ref="C19:E19"/>
    <mergeCell ref="G19:I19"/>
    <mergeCell ref="K19:M19"/>
    <mergeCell ref="L23:M23"/>
    <mergeCell ref="L44:M44"/>
    <mergeCell ref="C33:E33"/>
    <mergeCell ref="G33:I33"/>
    <mergeCell ref="K33:M33"/>
    <mergeCell ref="C34:E34"/>
    <mergeCell ref="G34:I34"/>
    <mergeCell ref="K34:M34"/>
    <mergeCell ref="C35:E35"/>
    <mergeCell ref="G35:I35"/>
    <mergeCell ref="K35:M35"/>
    <mergeCell ref="C36:E36"/>
    <mergeCell ref="G36:I36"/>
    <mergeCell ref="C39:E39"/>
    <mergeCell ref="G39:I39"/>
    <mergeCell ref="K39:M39"/>
    <mergeCell ref="C40:E40"/>
    <mergeCell ref="G40:I40"/>
    <mergeCell ref="K40:M40"/>
    <mergeCell ref="K36:M36"/>
    <mergeCell ref="C37:E37"/>
    <mergeCell ref="G37:I37"/>
    <mergeCell ref="K37:M37"/>
    <mergeCell ref="C38:E38"/>
    <mergeCell ref="G38:I38"/>
    <mergeCell ref="K38:M38"/>
    <mergeCell ref="C56:E56"/>
    <mergeCell ref="G56:I56"/>
    <mergeCell ref="K56:M56"/>
    <mergeCell ref="C57:E57"/>
    <mergeCell ref="G57:I57"/>
    <mergeCell ref="K57:M57"/>
    <mergeCell ref="C54:E54"/>
    <mergeCell ref="G54:I54"/>
    <mergeCell ref="K54:M54"/>
    <mergeCell ref="C55:E55"/>
    <mergeCell ref="G55:I55"/>
    <mergeCell ref="K55:M55"/>
    <mergeCell ref="C60:E60"/>
    <mergeCell ref="G60:I60"/>
    <mergeCell ref="K60:M60"/>
    <mergeCell ref="C61:E61"/>
    <mergeCell ref="G61:I61"/>
    <mergeCell ref="K61:M61"/>
    <mergeCell ref="C58:E58"/>
    <mergeCell ref="G58:I58"/>
    <mergeCell ref="K58:M58"/>
    <mergeCell ref="C59:E59"/>
    <mergeCell ref="G59:I59"/>
    <mergeCell ref="K59:M59"/>
    <mergeCell ref="C77:E77"/>
    <mergeCell ref="G77:I77"/>
    <mergeCell ref="K77:M77"/>
    <mergeCell ref="C78:E78"/>
    <mergeCell ref="G78:I78"/>
    <mergeCell ref="K78:M78"/>
    <mergeCell ref="C75:E75"/>
    <mergeCell ref="G75:I75"/>
    <mergeCell ref="K75:M75"/>
    <mergeCell ref="C76:E76"/>
    <mergeCell ref="G76:I76"/>
    <mergeCell ref="K76:M76"/>
    <mergeCell ref="C81:E81"/>
    <mergeCell ref="G81:I81"/>
    <mergeCell ref="K81:M81"/>
    <mergeCell ref="C82:E82"/>
    <mergeCell ref="G82:I82"/>
    <mergeCell ref="K82:M82"/>
    <mergeCell ref="C79:E79"/>
    <mergeCell ref="G79:I79"/>
    <mergeCell ref="K79:M79"/>
    <mergeCell ref="C80:E80"/>
    <mergeCell ref="G80:I80"/>
    <mergeCell ref="K80:M80"/>
    <mergeCell ref="C98:E98"/>
    <mergeCell ref="G98:I98"/>
    <mergeCell ref="K98:M98"/>
    <mergeCell ref="C99:E99"/>
    <mergeCell ref="G99:I99"/>
    <mergeCell ref="K99:M99"/>
    <mergeCell ref="C96:E96"/>
    <mergeCell ref="G96:I96"/>
    <mergeCell ref="K96:M96"/>
    <mergeCell ref="C97:E97"/>
    <mergeCell ref="G97:I97"/>
    <mergeCell ref="K97:M97"/>
    <mergeCell ref="C102:E102"/>
    <mergeCell ref="G102:I102"/>
    <mergeCell ref="K102:M102"/>
    <mergeCell ref="C103:E103"/>
    <mergeCell ref="G103:I103"/>
    <mergeCell ref="K103:M103"/>
    <mergeCell ref="C100:E100"/>
    <mergeCell ref="G100:I100"/>
    <mergeCell ref="K100:M100"/>
    <mergeCell ref="C101:E101"/>
    <mergeCell ref="G101:I101"/>
    <mergeCell ref="K101:M101"/>
    <mergeCell ref="C119:E119"/>
    <mergeCell ref="G119:I119"/>
    <mergeCell ref="K119:M119"/>
    <mergeCell ref="C120:E120"/>
    <mergeCell ref="G120:I120"/>
    <mergeCell ref="K120:M120"/>
    <mergeCell ref="C117:E117"/>
    <mergeCell ref="G117:I117"/>
    <mergeCell ref="K117:M117"/>
    <mergeCell ref="C118:E118"/>
    <mergeCell ref="G118:I118"/>
    <mergeCell ref="K118:M118"/>
    <mergeCell ref="C123:E123"/>
    <mergeCell ref="G123:I123"/>
    <mergeCell ref="K123:M123"/>
    <mergeCell ref="C124:E124"/>
    <mergeCell ref="G124:I124"/>
    <mergeCell ref="K124:M124"/>
    <mergeCell ref="C121:E121"/>
    <mergeCell ref="G121:I121"/>
    <mergeCell ref="K121:M121"/>
    <mergeCell ref="C122:E122"/>
    <mergeCell ref="G122:I122"/>
    <mergeCell ref="K122:M122"/>
    <mergeCell ref="C140:E140"/>
    <mergeCell ref="G140:I140"/>
    <mergeCell ref="K140:M140"/>
    <mergeCell ref="C141:E141"/>
    <mergeCell ref="G141:I141"/>
    <mergeCell ref="K141:M141"/>
    <mergeCell ref="C138:E138"/>
    <mergeCell ref="G138:I138"/>
    <mergeCell ref="K138:M138"/>
    <mergeCell ref="C139:E139"/>
    <mergeCell ref="G139:I139"/>
    <mergeCell ref="K139:M139"/>
    <mergeCell ref="C144:E144"/>
    <mergeCell ref="G144:I144"/>
    <mergeCell ref="K144:M144"/>
    <mergeCell ref="C145:E145"/>
    <mergeCell ref="G145:I145"/>
    <mergeCell ref="K145:M145"/>
    <mergeCell ref="C142:E142"/>
    <mergeCell ref="G142:I142"/>
    <mergeCell ref="K142:M142"/>
    <mergeCell ref="C143:E143"/>
    <mergeCell ref="G143:I143"/>
    <mergeCell ref="K143:M143"/>
    <mergeCell ref="C161:E161"/>
    <mergeCell ref="G161:I161"/>
    <mergeCell ref="K161:M161"/>
    <mergeCell ref="C162:E162"/>
    <mergeCell ref="G162:I162"/>
    <mergeCell ref="K162:M162"/>
    <mergeCell ref="C159:E159"/>
    <mergeCell ref="G159:I159"/>
    <mergeCell ref="K159:M159"/>
    <mergeCell ref="C160:E160"/>
    <mergeCell ref="G160:I160"/>
    <mergeCell ref="K160:M160"/>
    <mergeCell ref="C165:E165"/>
    <mergeCell ref="G165:I165"/>
    <mergeCell ref="K165:M165"/>
    <mergeCell ref="C166:E166"/>
    <mergeCell ref="G166:I166"/>
    <mergeCell ref="K166:M166"/>
    <mergeCell ref="C163:E163"/>
    <mergeCell ref="G163:I163"/>
    <mergeCell ref="K163:M163"/>
    <mergeCell ref="C164:E164"/>
    <mergeCell ref="G164:I164"/>
    <mergeCell ref="K164:M164"/>
    <mergeCell ref="C182:E182"/>
    <mergeCell ref="G182:I182"/>
    <mergeCell ref="K182:M182"/>
    <mergeCell ref="C183:E183"/>
    <mergeCell ref="G183:I183"/>
    <mergeCell ref="K183:M183"/>
    <mergeCell ref="C180:E180"/>
    <mergeCell ref="G180:I180"/>
    <mergeCell ref="K180:M180"/>
    <mergeCell ref="C181:E181"/>
    <mergeCell ref="G181:I181"/>
    <mergeCell ref="K181:M181"/>
    <mergeCell ref="C186:E186"/>
    <mergeCell ref="G186:I186"/>
    <mergeCell ref="K186:M186"/>
    <mergeCell ref="C187:E187"/>
    <mergeCell ref="G187:I187"/>
    <mergeCell ref="K187:M187"/>
    <mergeCell ref="C184:E184"/>
    <mergeCell ref="G184:I184"/>
    <mergeCell ref="K184:M184"/>
    <mergeCell ref="C185:E185"/>
    <mergeCell ref="G185:I185"/>
    <mergeCell ref="K185:M185"/>
    <mergeCell ref="C203:E203"/>
    <mergeCell ref="G203:I203"/>
    <mergeCell ref="K203:M203"/>
    <mergeCell ref="C204:E204"/>
    <mergeCell ref="G204:I204"/>
    <mergeCell ref="K204:M204"/>
    <mergeCell ref="C201:E201"/>
    <mergeCell ref="G201:I201"/>
    <mergeCell ref="K201:M201"/>
    <mergeCell ref="C202:E202"/>
    <mergeCell ref="G202:I202"/>
    <mergeCell ref="K202:M202"/>
    <mergeCell ref="C207:E207"/>
    <mergeCell ref="G207:I207"/>
    <mergeCell ref="K207:M207"/>
    <mergeCell ref="C208:E208"/>
    <mergeCell ref="G208:I208"/>
    <mergeCell ref="K208:M208"/>
    <mergeCell ref="C205:E205"/>
    <mergeCell ref="G205:I205"/>
    <mergeCell ref="K205:M205"/>
    <mergeCell ref="C206:E206"/>
    <mergeCell ref="G206:I206"/>
    <mergeCell ref="K206:M206"/>
    <mergeCell ref="C224:E224"/>
    <mergeCell ref="G224:I224"/>
    <mergeCell ref="K224:M224"/>
    <mergeCell ref="C225:E225"/>
    <mergeCell ref="G225:I225"/>
    <mergeCell ref="K225:M225"/>
    <mergeCell ref="C222:E222"/>
    <mergeCell ref="G222:I222"/>
    <mergeCell ref="K222:M222"/>
    <mergeCell ref="C223:E223"/>
    <mergeCell ref="G223:I223"/>
    <mergeCell ref="K223:M223"/>
    <mergeCell ref="C228:E228"/>
    <mergeCell ref="G228:I228"/>
    <mergeCell ref="K228:M228"/>
    <mergeCell ref="C229:E229"/>
    <mergeCell ref="G229:I229"/>
    <mergeCell ref="K229:M229"/>
    <mergeCell ref="C226:E226"/>
    <mergeCell ref="G226:I226"/>
    <mergeCell ref="K226:M226"/>
    <mergeCell ref="C227:E227"/>
    <mergeCell ref="G227:I227"/>
    <mergeCell ref="K227:M227"/>
    <mergeCell ref="C245:E245"/>
    <mergeCell ref="G245:I245"/>
    <mergeCell ref="K245:M245"/>
    <mergeCell ref="C246:E246"/>
    <mergeCell ref="G246:I246"/>
    <mergeCell ref="K246:M246"/>
    <mergeCell ref="C243:E243"/>
    <mergeCell ref="G243:I243"/>
    <mergeCell ref="K243:M243"/>
    <mergeCell ref="C244:E244"/>
    <mergeCell ref="G244:I244"/>
    <mergeCell ref="K244:M244"/>
    <mergeCell ref="C249:E249"/>
    <mergeCell ref="G249:I249"/>
    <mergeCell ref="K249:M249"/>
    <mergeCell ref="C250:E250"/>
    <mergeCell ref="G250:I250"/>
    <mergeCell ref="K250:M250"/>
    <mergeCell ref="C247:E247"/>
    <mergeCell ref="G247:I247"/>
    <mergeCell ref="K247:M247"/>
    <mergeCell ref="C248:E248"/>
    <mergeCell ref="G248:I248"/>
    <mergeCell ref="K248:M248"/>
    <mergeCell ref="C266:E266"/>
    <mergeCell ref="G266:I266"/>
    <mergeCell ref="K266:M266"/>
    <mergeCell ref="C267:E267"/>
    <mergeCell ref="G267:I267"/>
    <mergeCell ref="K267:M267"/>
    <mergeCell ref="C264:E264"/>
    <mergeCell ref="G264:I264"/>
    <mergeCell ref="K264:M264"/>
    <mergeCell ref="C265:E265"/>
    <mergeCell ref="G265:I265"/>
    <mergeCell ref="K265:M265"/>
    <mergeCell ref="C270:E270"/>
    <mergeCell ref="G270:I270"/>
    <mergeCell ref="K270:M270"/>
    <mergeCell ref="C271:E271"/>
    <mergeCell ref="G271:I271"/>
    <mergeCell ref="K271:M271"/>
    <mergeCell ref="C268:E268"/>
    <mergeCell ref="G268:I268"/>
    <mergeCell ref="K268:M268"/>
    <mergeCell ref="C269:E269"/>
    <mergeCell ref="G269:I269"/>
    <mergeCell ref="K269:M269"/>
    <mergeCell ref="C287:E287"/>
    <mergeCell ref="G287:I287"/>
    <mergeCell ref="K287:M287"/>
    <mergeCell ref="C288:E288"/>
    <mergeCell ref="G288:I288"/>
    <mergeCell ref="K288:M288"/>
    <mergeCell ref="C285:E285"/>
    <mergeCell ref="G285:I285"/>
    <mergeCell ref="K285:M285"/>
    <mergeCell ref="C286:E286"/>
    <mergeCell ref="G286:I286"/>
    <mergeCell ref="K286:M286"/>
    <mergeCell ref="C291:E291"/>
    <mergeCell ref="G291:I291"/>
    <mergeCell ref="K291:M291"/>
    <mergeCell ref="C292:E292"/>
    <mergeCell ref="G292:I292"/>
    <mergeCell ref="K292:M292"/>
    <mergeCell ref="C289:E289"/>
    <mergeCell ref="G289:I289"/>
    <mergeCell ref="K289:M289"/>
    <mergeCell ref="C290:E290"/>
    <mergeCell ref="G290:I290"/>
    <mergeCell ref="K290:M290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B1:J397"/>
  <sheetViews>
    <sheetView topLeftCell="A157" workbookViewId="0">
      <selection activeCell="H6" sqref="H6:O6"/>
    </sheetView>
  </sheetViews>
  <sheetFormatPr defaultColWidth="9.140625" defaultRowHeight="12.75" outlineLevelCol="1"/>
  <cols>
    <col min="1" max="1" width="4.140625" style="1" customWidth="1"/>
    <col min="2" max="2" width="22.42578125" style="1" customWidth="1"/>
    <col min="3" max="3" width="37.140625" style="1" customWidth="1"/>
    <col min="4" max="9" width="13.28515625" style="1" hidden="1" customWidth="1" outlineLevel="1"/>
    <col min="10" max="10" width="13.28515625" style="1" customWidth="1" collapsed="1"/>
    <col min="11" max="11" width="15.85546875" style="1" customWidth="1"/>
    <col min="12" max="16384" width="9.140625" style="1"/>
  </cols>
  <sheetData>
    <row r="1" spans="2:10" s="62" customFormat="1" ht="30">
      <c r="B1" s="61" t="s">
        <v>67</v>
      </c>
      <c r="C1" s="63"/>
      <c r="D1" s="63"/>
      <c r="E1" s="63"/>
    </row>
    <row r="2" spans="2:10" s="62" customFormat="1" ht="25.5" customHeight="1">
      <c r="B2" s="63" t="s">
        <v>68</v>
      </c>
      <c r="C2" s="63"/>
      <c r="D2" s="63"/>
      <c r="E2" s="63"/>
    </row>
    <row r="3" spans="2:10" ht="12.75" customHeight="1">
      <c r="B3" s="57" t="s">
        <v>69</v>
      </c>
      <c r="C3" s="58" t="s">
        <v>70</v>
      </c>
      <c r="D3" s="59" t="s">
        <v>71</v>
      </c>
      <c r="E3" s="59" t="s">
        <v>72</v>
      </c>
      <c r="F3" s="59" t="s">
        <v>73</v>
      </c>
      <c r="G3" s="59" t="s">
        <v>74</v>
      </c>
      <c r="H3" s="59" t="s">
        <v>75</v>
      </c>
      <c r="I3" s="59" t="s">
        <v>76</v>
      </c>
      <c r="J3" s="60" t="s">
        <v>77</v>
      </c>
    </row>
    <row r="4" spans="2:10" ht="14.25" customHeight="1">
      <c r="B4" s="205"/>
      <c r="C4" s="206"/>
      <c r="D4" s="207"/>
      <c r="E4" s="207"/>
      <c r="F4" s="207"/>
      <c r="G4" s="207"/>
      <c r="H4" s="207"/>
      <c r="I4" s="207"/>
      <c r="J4" s="208"/>
    </row>
    <row r="5" spans="2:10">
      <c r="B5" s="51" t="s">
        <v>78</v>
      </c>
      <c r="C5" s="52" t="s">
        <v>79</v>
      </c>
      <c r="D5" s="52">
        <v>2100</v>
      </c>
      <c r="E5" s="52">
        <v>1020</v>
      </c>
      <c r="F5" s="52">
        <v>17</v>
      </c>
      <c r="G5" s="52">
        <v>0.01</v>
      </c>
      <c r="H5" s="52">
        <v>1.5</v>
      </c>
      <c r="I5" s="52">
        <v>1.05</v>
      </c>
      <c r="J5" s="53">
        <v>1.23</v>
      </c>
    </row>
    <row r="6" spans="2:10">
      <c r="B6" s="54" t="s">
        <v>78</v>
      </c>
      <c r="C6" s="55" t="s">
        <v>80</v>
      </c>
      <c r="D6" s="55">
        <v>2200</v>
      </c>
      <c r="E6" s="55">
        <v>1020</v>
      </c>
      <c r="F6" s="55">
        <v>20</v>
      </c>
      <c r="G6" s="55">
        <v>8.9999999999999993E-3</v>
      </c>
      <c r="H6" s="55">
        <v>1.5</v>
      </c>
      <c r="I6" s="55">
        <v>1.1000000000000001</v>
      </c>
      <c r="J6" s="56">
        <v>1.3</v>
      </c>
    </row>
    <row r="7" spans="2:10">
      <c r="B7" s="54" t="s">
        <v>78</v>
      </c>
      <c r="C7" s="55" t="s">
        <v>81</v>
      </c>
      <c r="D7" s="55">
        <v>2300</v>
      </c>
      <c r="E7" s="55">
        <v>1020</v>
      </c>
      <c r="F7" s="55">
        <v>23</v>
      </c>
      <c r="G7" s="55">
        <v>8.0000000000000002E-3</v>
      </c>
      <c r="H7" s="55">
        <v>1.5</v>
      </c>
      <c r="I7" s="55">
        <v>1.1599999999999999</v>
      </c>
      <c r="J7" s="56">
        <v>1.36</v>
      </c>
    </row>
    <row r="8" spans="2:10">
      <c r="B8" s="54" t="s">
        <v>78</v>
      </c>
      <c r="C8" s="55" t="s">
        <v>82</v>
      </c>
      <c r="D8" s="55">
        <v>1200</v>
      </c>
      <c r="E8" s="55">
        <v>840</v>
      </c>
      <c r="F8" s="55">
        <v>23</v>
      </c>
      <c r="G8" s="55">
        <v>8.2000000000000007E-3</v>
      </c>
      <c r="H8" s="55"/>
      <c r="I8" s="55">
        <v>1.1599999999999999</v>
      </c>
      <c r="J8" s="56">
        <v>1.2</v>
      </c>
    </row>
    <row r="9" spans="2:10">
      <c r="B9" s="54" t="s">
        <v>78</v>
      </c>
      <c r="C9" s="55" t="s">
        <v>83</v>
      </c>
      <c r="D9" s="55">
        <v>1200</v>
      </c>
      <c r="E9" s="55">
        <v>840</v>
      </c>
      <c r="F9" s="55">
        <v>23</v>
      </c>
      <c r="G9" s="55">
        <v>8.2000000000000007E-3</v>
      </c>
      <c r="H9" s="55"/>
      <c r="I9" s="55">
        <v>1.05</v>
      </c>
      <c r="J9" s="56">
        <v>1.1000000000000001</v>
      </c>
    </row>
    <row r="10" spans="2:10">
      <c r="B10" s="54" t="s">
        <v>78</v>
      </c>
      <c r="C10" s="55" t="s">
        <v>84</v>
      </c>
      <c r="D10" s="55">
        <v>2300</v>
      </c>
      <c r="E10" s="55">
        <v>1020</v>
      </c>
      <c r="F10" s="55">
        <v>23</v>
      </c>
      <c r="G10" s="55">
        <v>8.0000000000000002E-3</v>
      </c>
      <c r="H10" s="55">
        <v>1.5</v>
      </c>
      <c r="I10" s="55">
        <v>1.22</v>
      </c>
      <c r="J10" s="56">
        <v>1.43</v>
      </c>
    </row>
    <row r="11" spans="2:10">
      <c r="B11" s="54" t="s">
        <v>78</v>
      </c>
      <c r="C11" s="55" t="s">
        <v>85</v>
      </c>
      <c r="D11" s="55">
        <v>2400</v>
      </c>
      <c r="E11" s="55">
        <v>1020</v>
      </c>
      <c r="F11" s="55">
        <v>29</v>
      </c>
      <c r="G11" s="55">
        <v>7.0000000000000001E-3</v>
      </c>
      <c r="H11" s="55">
        <v>1.5</v>
      </c>
      <c r="I11" s="55">
        <v>1.34</v>
      </c>
      <c r="J11" s="56">
        <v>1.58</v>
      </c>
    </row>
    <row r="12" spans="2:10">
      <c r="B12" s="54" t="s">
        <v>78</v>
      </c>
      <c r="C12" s="55" t="s">
        <v>86</v>
      </c>
      <c r="D12" s="55">
        <v>2500</v>
      </c>
      <c r="E12" s="55">
        <v>1020</v>
      </c>
      <c r="F12" s="55">
        <v>32</v>
      </c>
      <c r="G12" s="55">
        <v>6.0000000000000001E-3</v>
      </c>
      <c r="H12" s="55">
        <v>1.5</v>
      </c>
      <c r="I12" s="55">
        <v>1.48</v>
      </c>
      <c r="J12" s="56">
        <v>1.74</v>
      </c>
    </row>
    <row r="13" spans="2:10">
      <c r="B13" s="54" t="s">
        <v>87</v>
      </c>
      <c r="C13" s="55" t="s">
        <v>88</v>
      </c>
      <c r="D13" s="55">
        <v>28</v>
      </c>
      <c r="E13" s="55">
        <v>2060</v>
      </c>
      <c r="F13" s="55">
        <v>130</v>
      </c>
      <c r="G13" s="55">
        <v>1.4E-3</v>
      </c>
      <c r="H13" s="55"/>
      <c r="I13" s="55"/>
      <c r="J13" s="56">
        <v>0.03</v>
      </c>
    </row>
    <row r="14" spans="2:10">
      <c r="B14" s="54" t="s">
        <v>87</v>
      </c>
      <c r="C14" s="55" t="s">
        <v>89</v>
      </c>
      <c r="D14" s="55">
        <v>30</v>
      </c>
      <c r="E14" s="55">
        <v>2060</v>
      </c>
      <c r="F14" s="55">
        <v>180</v>
      </c>
      <c r="G14" s="55">
        <v>1E-3</v>
      </c>
      <c r="H14" s="55"/>
      <c r="I14" s="55"/>
      <c r="J14" s="56">
        <v>0.03</v>
      </c>
    </row>
    <row r="15" spans="2:10">
      <c r="B15" s="54" t="s">
        <v>87</v>
      </c>
      <c r="C15" s="55" t="s">
        <v>90</v>
      </c>
      <c r="D15" s="55">
        <v>30</v>
      </c>
      <c r="E15" s="55">
        <v>2060</v>
      </c>
      <c r="F15" s="55">
        <v>180</v>
      </c>
      <c r="G15" s="55">
        <v>1E-3</v>
      </c>
      <c r="H15" s="55"/>
      <c r="I15" s="55"/>
      <c r="J15" s="56">
        <v>3.2000000000000001E-2</v>
      </c>
    </row>
    <row r="16" spans="2:10">
      <c r="B16" s="54" t="s">
        <v>87</v>
      </c>
      <c r="C16" s="55" t="s">
        <v>91</v>
      </c>
      <c r="D16" s="55">
        <v>35</v>
      </c>
      <c r="E16" s="55">
        <v>2060</v>
      </c>
      <c r="F16" s="55">
        <v>200</v>
      </c>
      <c r="G16" s="55">
        <v>9.3999999999999997E-4</v>
      </c>
      <c r="H16" s="55"/>
      <c r="I16" s="55"/>
      <c r="J16" s="56">
        <v>0.03</v>
      </c>
    </row>
    <row r="17" spans="2:10">
      <c r="B17" s="54" t="s">
        <v>87</v>
      </c>
      <c r="C17" s="55" t="s">
        <v>92</v>
      </c>
      <c r="D17" s="55">
        <v>45</v>
      </c>
      <c r="E17" s="55">
        <v>2060</v>
      </c>
      <c r="F17" s="55">
        <v>200</v>
      </c>
      <c r="G17" s="55">
        <v>9.3999999999999997E-4</v>
      </c>
      <c r="H17" s="55"/>
      <c r="I17" s="55"/>
      <c r="J17" s="56">
        <v>0.03</v>
      </c>
    </row>
    <row r="18" spans="2:10">
      <c r="B18" s="54" t="s">
        <v>87</v>
      </c>
      <c r="C18" s="55" t="s">
        <v>93</v>
      </c>
      <c r="D18" s="55">
        <v>28</v>
      </c>
      <c r="E18" s="55">
        <v>2060</v>
      </c>
      <c r="F18" s="55">
        <v>85</v>
      </c>
      <c r="G18" s="55">
        <v>2.2000000000000001E-3</v>
      </c>
      <c r="H18" s="55"/>
      <c r="I18" s="55"/>
      <c r="J18" s="56">
        <v>3.5000000000000003E-2</v>
      </c>
    </row>
    <row r="19" spans="2:10">
      <c r="B19" s="54" t="s">
        <v>87</v>
      </c>
      <c r="C19" s="55" t="s">
        <v>94</v>
      </c>
      <c r="D19" s="55">
        <v>30</v>
      </c>
      <c r="E19" s="55">
        <v>2060</v>
      </c>
      <c r="F19" s="55">
        <v>100</v>
      </c>
      <c r="G19" s="55">
        <v>1.9E-3</v>
      </c>
      <c r="H19" s="55"/>
      <c r="I19" s="55">
        <v>0.04</v>
      </c>
      <c r="J19" s="56">
        <v>0.04</v>
      </c>
    </row>
    <row r="20" spans="2:10">
      <c r="B20" s="54" t="s">
        <v>87</v>
      </c>
      <c r="C20" s="55" t="s">
        <v>95</v>
      </c>
      <c r="D20" s="55">
        <v>28</v>
      </c>
      <c r="E20" s="55">
        <v>2060</v>
      </c>
      <c r="F20" s="55">
        <v>150</v>
      </c>
      <c r="G20" s="55">
        <v>1.2999999999999999E-3</v>
      </c>
      <c r="H20" s="55"/>
      <c r="I20" s="55">
        <v>3.2000000000000001E-2</v>
      </c>
      <c r="J20" s="56">
        <v>3.2000000000000001E-2</v>
      </c>
    </row>
    <row r="21" spans="2:10">
      <c r="B21" s="54" t="s">
        <v>87</v>
      </c>
      <c r="C21" s="55" t="s">
        <v>96</v>
      </c>
      <c r="D21" s="55">
        <v>28</v>
      </c>
      <c r="E21" s="55">
        <v>2060</v>
      </c>
      <c r="F21" s="55">
        <v>50</v>
      </c>
      <c r="G21" s="55">
        <v>3.8E-3</v>
      </c>
      <c r="H21" s="55"/>
      <c r="I21" s="55">
        <v>3.4000000000000002E-2</v>
      </c>
      <c r="J21" s="56">
        <v>3.4000000000000002E-2</v>
      </c>
    </row>
    <row r="22" spans="2:10">
      <c r="B22" s="54" t="s">
        <v>87</v>
      </c>
      <c r="C22" s="55" t="s">
        <v>97</v>
      </c>
      <c r="D22" s="55">
        <v>30</v>
      </c>
      <c r="E22" s="55">
        <v>2060</v>
      </c>
      <c r="F22" s="55">
        <v>80</v>
      </c>
      <c r="G22" s="55">
        <v>2.3999999999999998E-3</v>
      </c>
      <c r="H22" s="55"/>
      <c r="I22" s="55">
        <v>3.7999999999999999E-2</v>
      </c>
      <c r="J22" s="56">
        <v>3.7999999999999999E-2</v>
      </c>
    </row>
    <row r="23" spans="2:10">
      <c r="B23" s="54" t="s">
        <v>87</v>
      </c>
      <c r="C23" s="55" t="s">
        <v>98</v>
      </c>
      <c r="D23" s="55">
        <v>30</v>
      </c>
      <c r="E23" s="55">
        <v>2060</v>
      </c>
      <c r="F23" s="55">
        <v>200</v>
      </c>
      <c r="G23" s="55">
        <v>9.3999999999999997E-4</v>
      </c>
      <c r="H23" s="55"/>
      <c r="I23" s="55">
        <v>3.2000000000000001E-2</v>
      </c>
      <c r="J23" s="56">
        <v>3.2000000000000001E-2</v>
      </c>
    </row>
    <row r="24" spans="2:10">
      <c r="B24" s="54" t="s">
        <v>87</v>
      </c>
      <c r="C24" s="55" t="s">
        <v>99</v>
      </c>
      <c r="D24" s="55">
        <v>30</v>
      </c>
      <c r="E24" s="55">
        <v>2060</v>
      </c>
      <c r="F24" s="55">
        <v>150</v>
      </c>
      <c r="G24" s="55">
        <v>1.2999999999999999E-3</v>
      </c>
      <c r="H24" s="55"/>
      <c r="I24" s="55">
        <v>3.4000000000000002E-2</v>
      </c>
      <c r="J24" s="56">
        <v>3.4000000000000002E-2</v>
      </c>
    </row>
    <row r="25" spans="2:10">
      <c r="B25" s="54" t="s">
        <v>87</v>
      </c>
      <c r="C25" s="55" t="s">
        <v>100</v>
      </c>
      <c r="D25" s="55">
        <v>30</v>
      </c>
      <c r="E25" s="55">
        <v>2060</v>
      </c>
      <c r="F25" s="55">
        <v>100</v>
      </c>
      <c r="G25" s="55">
        <v>1.9E-3</v>
      </c>
      <c r="H25" s="55"/>
      <c r="I25" s="55">
        <v>3.5999999999999997E-2</v>
      </c>
      <c r="J25" s="56">
        <v>3.5999999999999997E-2</v>
      </c>
    </row>
    <row r="26" spans="2:10">
      <c r="B26" s="54" t="s">
        <v>87</v>
      </c>
      <c r="C26" s="55" t="s">
        <v>101</v>
      </c>
      <c r="D26" s="55">
        <v>30</v>
      </c>
      <c r="E26" s="55">
        <v>2060</v>
      </c>
      <c r="F26" s="55">
        <v>100</v>
      </c>
      <c r="G26" s="55">
        <v>1.9E-3</v>
      </c>
      <c r="H26" s="55"/>
      <c r="I26" s="55"/>
      <c r="J26" s="56">
        <v>0.03</v>
      </c>
    </row>
    <row r="27" spans="2:10">
      <c r="B27" s="54" t="s">
        <v>87</v>
      </c>
      <c r="C27" s="55" t="s">
        <v>102</v>
      </c>
      <c r="D27" s="55">
        <v>30</v>
      </c>
      <c r="E27" s="55">
        <v>2060</v>
      </c>
      <c r="F27" s="55">
        <v>150</v>
      </c>
      <c r="G27" s="55">
        <v>1.2999999999999999E-3</v>
      </c>
      <c r="H27" s="55"/>
      <c r="I27" s="55">
        <v>3.2000000000000001E-2</v>
      </c>
      <c r="J27" s="56">
        <v>3.2000000000000001E-2</v>
      </c>
    </row>
    <row r="28" spans="2:10">
      <c r="B28" s="54" t="s">
        <v>87</v>
      </c>
      <c r="C28" s="55" t="s">
        <v>103</v>
      </c>
      <c r="D28" s="55">
        <v>30</v>
      </c>
      <c r="E28" s="55">
        <v>2060</v>
      </c>
      <c r="F28" s="55">
        <v>125</v>
      </c>
      <c r="G28" s="55">
        <v>1.5E-3</v>
      </c>
      <c r="H28" s="55"/>
      <c r="I28" s="55">
        <v>3.4000000000000002E-2</v>
      </c>
      <c r="J28" s="56">
        <v>3.4000000000000002E-2</v>
      </c>
    </row>
    <row r="29" spans="2:10">
      <c r="B29" s="54" t="s">
        <v>87</v>
      </c>
      <c r="C29" s="55" t="s">
        <v>104</v>
      </c>
      <c r="D29" s="55">
        <v>30</v>
      </c>
      <c r="E29" s="55">
        <v>2060</v>
      </c>
      <c r="F29" s="55">
        <v>100</v>
      </c>
      <c r="G29" s="55">
        <v>1.9E-3</v>
      </c>
      <c r="H29" s="55"/>
      <c r="I29" s="55">
        <v>3.5999999999999997E-2</v>
      </c>
      <c r="J29" s="56">
        <v>3.5999999999999997E-2</v>
      </c>
    </row>
    <row r="30" spans="2:10">
      <c r="B30" s="54" t="s">
        <v>87</v>
      </c>
      <c r="C30" s="55" t="s">
        <v>105</v>
      </c>
      <c r="D30" s="55">
        <v>33</v>
      </c>
      <c r="E30" s="55">
        <v>2060</v>
      </c>
      <c r="F30" s="55">
        <v>80</v>
      </c>
      <c r="G30" s="55">
        <v>2.3999999999999998E-3</v>
      </c>
      <c r="H30" s="55"/>
      <c r="I30" s="55">
        <v>3.7999999999999999E-2</v>
      </c>
      <c r="J30" s="56">
        <v>3.7999999999999999E-2</v>
      </c>
    </row>
    <row r="31" spans="2:10">
      <c r="B31" s="54" t="s">
        <v>87</v>
      </c>
      <c r="C31" s="55" t="s">
        <v>106</v>
      </c>
      <c r="D31" s="55">
        <v>33</v>
      </c>
      <c r="E31" s="55">
        <v>2060</v>
      </c>
      <c r="F31" s="55">
        <v>50</v>
      </c>
      <c r="G31" s="55">
        <v>3.8E-3</v>
      </c>
      <c r="H31" s="55"/>
      <c r="I31" s="55">
        <v>0.04</v>
      </c>
      <c r="J31" s="56">
        <v>0.04</v>
      </c>
    </row>
    <row r="32" spans="2:10">
      <c r="B32" s="54" t="s">
        <v>87</v>
      </c>
      <c r="C32" s="55" t="s">
        <v>107</v>
      </c>
      <c r="D32" s="55">
        <v>33</v>
      </c>
      <c r="E32" s="55">
        <v>2060</v>
      </c>
      <c r="F32" s="55">
        <v>150</v>
      </c>
      <c r="G32" s="55">
        <v>1.2999999999999999E-3</v>
      </c>
      <c r="H32" s="55"/>
      <c r="I32" s="55">
        <v>3.2000000000000001E-2</v>
      </c>
      <c r="J32" s="56">
        <v>3.2000000000000001E-2</v>
      </c>
    </row>
    <row r="33" spans="2:10">
      <c r="B33" s="54" t="s">
        <v>87</v>
      </c>
      <c r="C33" s="55" t="s">
        <v>108</v>
      </c>
      <c r="D33" s="55">
        <v>33</v>
      </c>
      <c r="E33" s="55">
        <v>2060</v>
      </c>
      <c r="F33" s="55">
        <v>120</v>
      </c>
      <c r="G33" s="55">
        <v>1.6000000000000001E-3</v>
      </c>
      <c r="H33" s="55"/>
      <c r="I33" s="55">
        <v>3.4000000000000002E-2</v>
      </c>
      <c r="J33" s="56">
        <v>3.4000000000000002E-2</v>
      </c>
    </row>
    <row r="34" spans="2:10">
      <c r="B34" s="54" t="s">
        <v>87</v>
      </c>
      <c r="C34" s="55" t="s">
        <v>109</v>
      </c>
      <c r="D34" s="55">
        <v>33</v>
      </c>
      <c r="E34" s="55">
        <v>2060</v>
      </c>
      <c r="F34" s="55">
        <v>100</v>
      </c>
      <c r="G34" s="55">
        <v>1.9E-3</v>
      </c>
      <c r="H34" s="55"/>
      <c r="I34" s="55">
        <v>3.5999999999999997E-2</v>
      </c>
      <c r="J34" s="56">
        <v>3.5999999999999997E-2</v>
      </c>
    </row>
    <row r="35" spans="2:10">
      <c r="B35" s="54" t="s">
        <v>87</v>
      </c>
      <c r="C35" s="55" t="s">
        <v>110</v>
      </c>
      <c r="D35" s="55">
        <v>35</v>
      </c>
      <c r="E35" s="55">
        <v>2060</v>
      </c>
      <c r="F35" s="55">
        <v>80</v>
      </c>
      <c r="G35" s="55">
        <v>2.3999999999999998E-3</v>
      </c>
      <c r="H35" s="55"/>
      <c r="I35" s="55">
        <v>3.7999999999999999E-2</v>
      </c>
      <c r="J35" s="56">
        <v>3.7999999999999999E-2</v>
      </c>
    </row>
    <row r="36" spans="2:10">
      <c r="B36" s="54" t="s">
        <v>87</v>
      </c>
      <c r="C36" s="55" t="s">
        <v>111</v>
      </c>
      <c r="D36" s="55">
        <v>35</v>
      </c>
      <c r="E36" s="55">
        <v>2060</v>
      </c>
      <c r="F36" s="55">
        <v>150</v>
      </c>
      <c r="G36" s="55">
        <v>1.2999999999999999E-3</v>
      </c>
      <c r="H36" s="55"/>
      <c r="I36" s="55">
        <v>3.2000000000000001E-2</v>
      </c>
      <c r="J36" s="56">
        <v>3.2000000000000001E-2</v>
      </c>
    </row>
    <row r="37" spans="2:10">
      <c r="B37" s="54" t="s">
        <v>87</v>
      </c>
      <c r="C37" s="55" t="s">
        <v>112</v>
      </c>
      <c r="D37" s="55">
        <v>35</v>
      </c>
      <c r="E37" s="55">
        <v>2060</v>
      </c>
      <c r="F37" s="55">
        <v>125</v>
      </c>
      <c r="G37" s="55">
        <v>1.5E-3</v>
      </c>
      <c r="H37" s="55"/>
      <c r="I37" s="55">
        <v>3.4000000000000002E-2</v>
      </c>
      <c r="J37" s="56">
        <v>3.4000000000000002E-2</v>
      </c>
    </row>
    <row r="38" spans="2:10">
      <c r="B38" s="54" t="s">
        <v>87</v>
      </c>
      <c r="C38" s="55" t="s">
        <v>113</v>
      </c>
      <c r="D38" s="55">
        <v>35</v>
      </c>
      <c r="E38" s="55">
        <v>2060</v>
      </c>
      <c r="F38" s="55">
        <v>100</v>
      </c>
      <c r="G38" s="55">
        <v>1.9E-3</v>
      </c>
      <c r="H38" s="55"/>
      <c r="I38" s="55">
        <v>3.5999999999999997E-2</v>
      </c>
      <c r="J38" s="56">
        <v>3.5999999999999997E-2</v>
      </c>
    </row>
    <row r="39" spans="2:10">
      <c r="B39" s="54" t="s">
        <v>87</v>
      </c>
      <c r="C39" s="55" t="s">
        <v>114</v>
      </c>
      <c r="D39" s="55">
        <v>45</v>
      </c>
      <c r="E39" s="55">
        <v>2060</v>
      </c>
      <c r="F39" s="55">
        <v>100</v>
      </c>
      <c r="G39" s="55">
        <v>1.9E-3</v>
      </c>
      <c r="H39" s="55"/>
      <c r="I39" s="55">
        <v>3.7999999999999999E-2</v>
      </c>
      <c r="J39" s="56">
        <v>3.7999999999999999E-2</v>
      </c>
    </row>
    <row r="40" spans="2:10">
      <c r="B40" s="54" t="s">
        <v>87</v>
      </c>
      <c r="C40" s="55" t="s">
        <v>115</v>
      </c>
      <c r="D40" s="55">
        <v>45</v>
      </c>
      <c r="E40" s="55">
        <v>2060</v>
      </c>
      <c r="F40" s="55">
        <v>150</v>
      </c>
      <c r="G40" s="55">
        <v>1.2999999999999999E-3</v>
      </c>
      <c r="H40" s="55"/>
      <c r="I40" s="55">
        <v>3.4000000000000002E-2</v>
      </c>
      <c r="J40" s="56">
        <v>3.4000000000000002E-2</v>
      </c>
    </row>
    <row r="41" spans="2:10">
      <c r="B41" s="54" t="s">
        <v>87</v>
      </c>
      <c r="C41" s="55" t="s">
        <v>116</v>
      </c>
      <c r="D41" s="55">
        <v>45</v>
      </c>
      <c r="E41" s="55">
        <v>2060</v>
      </c>
      <c r="F41" s="55">
        <v>125</v>
      </c>
      <c r="G41" s="55">
        <v>1.5E-3</v>
      </c>
      <c r="H41" s="55"/>
      <c r="I41" s="55">
        <v>3.5999999999999997E-2</v>
      </c>
      <c r="J41" s="56">
        <v>3.5999999999999997E-2</v>
      </c>
    </row>
    <row r="42" spans="2:10">
      <c r="B42" s="54" t="s">
        <v>87</v>
      </c>
      <c r="C42" s="55" t="s">
        <v>117</v>
      </c>
      <c r="D42" s="55">
        <v>30</v>
      </c>
      <c r="E42" s="55">
        <v>2060</v>
      </c>
      <c r="F42" s="55">
        <v>100</v>
      </c>
      <c r="G42" s="55">
        <v>1.9E-3</v>
      </c>
      <c r="H42" s="55"/>
      <c r="I42" s="55"/>
      <c r="J42" s="56">
        <v>3.5000000000000003E-2</v>
      </c>
    </row>
    <row r="43" spans="2:10">
      <c r="B43" s="54" t="s">
        <v>87</v>
      </c>
      <c r="C43" s="55" t="s">
        <v>118</v>
      </c>
      <c r="D43" s="55">
        <v>35</v>
      </c>
      <c r="E43" s="55">
        <v>1500</v>
      </c>
      <c r="F43" s="55">
        <v>180</v>
      </c>
      <c r="G43" s="55">
        <v>1E-3</v>
      </c>
      <c r="H43" s="55"/>
      <c r="I43" s="55"/>
      <c r="J43" s="56">
        <v>0.02</v>
      </c>
    </row>
    <row r="44" spans="2:10">
      <c r="B44" s="54" t="s">
        <v>87</v>
      </c>
      <c r="C44" s="55" t="s">
        <v>119</v>
      </c>
      <c r="D44" s="55">
        <v>30</v>
      </c>
      <c r="E44" s="55">
        <v>1500</v>
      </c>
      <c r="F44" s="55">
        <v>180</v>
      </c>
      <c r="G44" s="55">
        <v>1E-3</v>
      </c>
      <c r="H44" s="55"/>
      <c r="I44" s="55"/>
      <c r="J44" s="56">
        <v>2.5000000000000001E-2</v>
      </c>
    </row>
    <row r="45" spans="2:10">
      <c r="B45" s="54" t="s">
        <v>87</v>
      </c>
      <c r="C45" s="55" t="s">
        <v>120</v>
      </c>
      <c r="D45" s="55">
        <v>40</v>
      </c>
      <c r="E45" s="55">
        <v>1500</v>
      </c>
      <c r="F45" s="55">
        <v>180</v>
      </c>
      <c r="G45" s="55">
        <v>1E-3</v>
      </c>
      <c r="H45" s="55"/>
      <c r="I45" s="55"/>
      <c r="J45" s="56">
        <v>3.5000000000000003E-2</v>
      </c>
    </row>
    <row r="46" spans="2:10">
      <c r="B46" s="54" t="s">
        <v>87</v>
      </c>
      <c r="C46" s="55" t="s">
        <v>121</v>
      </c>
      <c r="D46" s="55">
        <v>17</v>
      </c>
      <c r="E46" s="55">
        <v>1270</v>
      </c>
      <c r="F46" s="55">
        <v>40</v>
      </c>
      <c r="G46" s="55">
        <v>4.7000000000000002E-3</v>
      </c>
      <c r="H46" s="55"/>
      <c r="I46" s="55">
        <v>0.04</v>
      </c>
      <c r="J46" s="56">
        <v>4.1000000000000002E-2</v>
      </c>
    </row>
    <row r="47" spans="2:10">
      <c r="B47" s="54" t="s">
        <v>87</v>
      </c>
      <c r="C47" s="55" t="s">
        <v>122</v>
      </c>
      <c r="D47" s="55">
        <v>16</v>
      </c>
      <c r="E47" s="55">
        <v>1270</v>
      </c>
      <c r="F47" s="55">
        <v>10</v>
      </c>
      <c r="G47" s="55">
        <v>1.9E-2</v>
      </c>
      <c r="H47" s="55"/>
      <c r="I47" s="55">
        <v>0.04</v>
      </c>
      <c r="J47" s="56">
        <v>4.1000000000000002E-2</v>
      </c>
    </row>
    <row r="48" spans="2:10">
      <c r="B48" s="54" t="s">
        <v>87</v>
      </c>
      <c r="C48" s="55" t="s">
        <v>123</v>
      </c>
      <c r="D48" s="55">
        <v>16</v>
      </c>
      <c r="E48" s="55">
        <v>1270</v>
      </c>
      <c r="F48" s="55">
        <v>10</v>
      </c>
      <c r="G48" s="55">
        <v>1.9E-2</v>
      </c>
      <c r="H48" s="55"/>
      <c r="I48" s="55">
        <v>3.1E-2</v>
      </c>
      <c r="J48" s="56">
        <v>3.2000000000000001E-2</v>
      </c>
    </row>
    <row r="49" spans="2:10">
      <c r="B49" s="54" t="s">
        <v>87</v>
      </c>
      <c r="C49" s="55" t="s">
        <v>124</v>
      </c>
      <c r="D49" s="55">
        <v>33</v>
      </c>
      <c r="E49" s="55">
        <v>2060</v>
      </c>
      <c r="F49" s="55">
        <v>70</v>
      </c>
      <c r="G49" s="55">
        <v>2.7000000000000001E-3</v>
      </c>
      <c r="H49" s="55"/>
      <c r="I49" s="55"/>
      <c r="J49" s="56">
        <v>0.03</v>
      </c>
    </row>
    <row r="50" spans="2:10">
      <c r="B50" s="54" t="s">
        <v>87</v>
      </c>
      <c r="C50" s="55" t="s">
        <v>125</v>
      </c>
      <c r="D50" s="55">
        <v>27</v>
      </c>
      <c r="E50" s="55">
        <v>2000</v>
      </c>
      <c r="F50" s="55">
        <v>1.1000000000000001</v>
      </c>
      <c r="G50" s="55">
        <v>0.17</v>
      </c>
      <c r="H50" s="55"/>
      <c r="I50" s="55"/>
      <c r="J50" s="56">
        <v>3.6999999999999998E-2</v>
      </c>
    </row>
    <row r="51" spans="2:10">
      <c r="B51" s="54" t="s">
        <v>87</v>
      </c>
      <c r="C51" s="55" t="s">
        <v>126</v>
      </c>
      <c r="D51" s="55">
        <v>50</v>
      </c>
      <c r="E51" s="55">
        <v>2000</v>
      </c>
      <c r="F51" s="55">
        <v>1.2</v>
      </c>
      <c r="G51" s="55">
        <v>0.16</v>
      </c>
      <c r="H51" s="55"/>
      <c r="I51" s="55"/>
      <c r="J51" s="56">
        <v>4.9000000000000002E-2</v>
      </c>
    </row>
    <row r="52" spans="2:10">
      <c r="B52" s="54" t="s">
        <v>87</v>
      </c>
      <c r="C52" s="55" t="s">
        <v>127</v>
      </c>
      <c r="D52" s="55">
        <v>35</v>
      </c>
      <c r="E52" s="55">
        <v>2060</v>
      </c>
      <c r="F52" s="55">
        <v>150</v>
      </c>
      <c r="G52" s="55">
        <v>1.2999999999999999E-3</v>
      </c>
      <c r="H52" s="55"/>
      <c r="I52" s="55"/>
      <c r="J52" s="56">
        <v>3.2000000000000001E-2</v>
      </c>
    </row>
    <row r="53" spans="2:10">
      <c r="B53" s="54" t="s">
        <v>87</v>
      </c>
      <c r="C53" s="55" t="s">
        <v>128</v>
      </c>
      <c r="D53" s="55">
        <v>40</v>
      </c>
      <c r="E53" s="55">
        <v>2060</v>
      </c>
      <c r="F53" s="55">
        <v>150</v>
      </c>
      <c r="G53" s="55">
        <v>1.2999999999999999E-3</v>
      </c>
      <c r="H53" s="55"/>
      <c r="I53" s="55"/>
      <c r="J53" s="56">
        <v>3.2000000000000001E-2</v>
      </c>
    </row>
    <row r="54" spans="2:10">
      <c r="B54" s="54" t="s">
        <v>87</v>
      </c>
      <c r="C54" s="55" t="s">
        <v>129</v>
      </c>
      <c r="D54" s="55">
        <v>45</v>
      </c>
      <c r="E54" s="55">
        <v>2060</v>
      </c>
      <c r="F54" s="55">
        <v>200</v>
      </c>
      <c r="G54" s="55">
        <v>9.3999999999999997E-4</v>
      </c>
      <c r="H54" s="55"/>
      <c r="I54" s="55"/>
      <c r="J54" s="56">
        <v>3.2000000000000001E-2</v>
      </c>
    </row>
    <row r="55" spans="2:10">
      <c r="B55" s="54" t="s">
        <v>87</v>
      </c>
      <c r="C55" s="55" t="s">
        <v>130</v>
      </c>
      <c r="D55" s="55">
        <v>32</v>
      </c>
      <c r="E55" s="55">
        <v>2060</v>
      </c>
      <c r="F55" s="55">
        <v>150</v>
      </c>
      <c r="G55" s="55">
        <v>1.2999999999999999E-3</v>
      </c>
      <c r="H55" s="55"/>
      <c r="I55" s="55"/>
      <c r="J55" s="56">
        <v>3.2000000000000001E-2</v>
      </c>
    </row>
    <row r="56" spans="2:10">
      <c r="B56" s="54" t="s">
        <v>87</v>
      </c>
      <c r="C56" s="55" t="s">
        <v>131</v>
      </c>
      <c r="D56" s="55">
        <v>32</v>
      </c>
      <c r="E56" s="55">
        <v>2060</v>
      </c>
      <c r="F56" s="55">
        <v>150</v>
      </c>
      <c r="G56" s="55">
        <v>1.2999999999999999E-3</v>
      </c>
      <c r="H56" s="55"/>
      <c r="I56" s="55"/>
      <c r="J56" s="56">
        <v>3.2000000000000001E-2</v>
      </c>
    </row>
    <row r="57" spans="2:10">
      <c r="B57" s="54" t="s">
        <v>87</v>
      </c>
      <c r="C57" s="55" t="s">
        <v>132</v>
      </c>
      <c r="D57" s="55">
        <v>35</v>
      </c>
      <c r="E57" s="55">
        <v>2060</v>
      </c>
      <c r="F57" s="55">
        <v>100</v>
      </c>
      <c r="G57" s="55">
        <v>1.9E-3</v>
      </c>
      <c r="H57" s="55"/>
      <c r="I57" s="55"/>
      <c r="J57" s="56">
        <v>3.2000000000000001E-2</v>
      </c>
    </row>
    <row r="58" spans="2:10">
      <c r="B58" s="54" t="s">
        <v>87</v>
      </c>
      <c r="C58" s="55" t="s">
        <v>133</v>
      </c>
      <c r="D58" s="55">
        <v>35</v>
      </c>
      <c r="E58" s="55">
        <v>2060</v>
      </c>
      <c r="F58" s="55">
        <v>100</v>
      </c>
      <c r="G58" s="55">
        <v>1.9E-3</v>
      </c>
      <c r="H58" s="55"/>
      <c r="I58" s="55"/>
      <c r="J58" s="56">
        <v>3.2000000000000001E-2</v>
      </c>
    </row>
    <row r="59" spans="2:10">
      <c r="B59" s="54" t="s">
        <v>87</v>
      </c>
      <c r="C59" s="55" t="s">
        <v>134</v>
      </c>
      <c r="D59" s="55">
        <v>30</v>
      </c>
      <c r="E59" s="55">
        <v>1500</v>
      </c>
      <c r="F59" s="55">
        <v>180</v>
      </c>
      <c r="G59" s="55">
        <v>1E-3</v>
      </c>
      <c r="H59" s="55"/>
      <c r="I59" s="55"/>
      <c r="J59" s="56">
        <v>2.5999999999999999E-2</v>
      </c>
    </row>
    <row r="60" spans="2:10">
      <c r="B60" s="54" t="s">
        <v>87</v>
      </c>
      <c r="C60" s="55" t="s">
        <v>135</v>
      </c>
      <c r="D60" s="55">
        <v>30</v>
      </c>
      <c r="E60" s="55">
        <v>1500</v>
      </c>
      <c r="F60" s="55">
        <v>180</v>
      </c>
      <c r="G60" s="55">
        <v>1E-3</v>
      </c>
      <c r="H60" s="55"/>
      <c r="I60" s="55"/>
      <c r="J60" s="56">
        <v>2.8000000000000001E-2</v>
      </c>
    </row>
    <row r="61" spans="2:10">
      <c r="B61" s="54" t="s">
        <v>87</v>
      </c>
      <c r="C61" s="55" t="s">
        <v>136</v>
      </c>
      <c r="D61" s="55">
        <v>30</v>
      </c>
      <c r="E61" s="55">
        <v>1500</v>
      </c>
      <c r="F61" s="55">
        <v>180</v>
      </c>
      <c r="G61" s="55">
        <v>1E-3</v>
      </c>
      <c r="H61" s="55"/>
      <c r="I61" s="55"/>
      <c r="J61" s="56">
        <v>2.8000000000000001E-2</v>
      </c>
    </row>
    <row r="62" spans="2:10">
      <c r="B62" s="54" t="s">
        <v>87</v>
      </c>
      <c r="C62" s="55" t="s">
        <v>137</v>
      </c>
      <c r="D62" s="55">
        <v>30</v>
      </c>
      <c r="E62" s="55">
        <v>1500</v>
      </c>
      <c r="F62" s="55">
        <v>180</v>
      </c>
      <c r="G62" s="55">
        <v>1E-3</v>
      </c>
      <c r="H62" s="55"/>
      <c r="I62" s="55"/>
      <c r="J62" s="56">
        <v>2.5999999999999999E-2</v>
      </c>
    </row>
    <row r="63" spans="2:10">
      <c r="B63" s="54" t="s">
        <v>87</v>
      </c>
      <c r="C63" s="55" t="s">
        <v>138</v>
      </c>
      <c r="D63" s="55">
        <v>30</v>
      </c>
      <c r="E63" s="55">
        <v>1500</v>
      </c>
      <c r="F63" s="55">
        <v>180</v>
      </c>
      <c r="G63" s="55">
        <v>1E-3</v>
      </c>
      <c r="H63" s="55"/>
      <c r="I63" s="55"/>
      <c r="J63" s="56">
        <v>2.4E-2</v>
      </c>
    </row>
    <row r="64" spans="2:10">
      <c r="B64" s="54" t="s">
        <v>87</v>
      </c>
      <c r="C64" s="55" t="s">
        <v>139</v>
      </c>
      <c r="D64" s="55">
        <v>30</v>
      </c>
      <c r="E64" s="55">
        <v>1500</v>
      </c>
      <c r="F64" s="55">
        <v>180</v>
      </c>
      <c r="G64" s="55">
        <v>1E-3</v>
      </c>
      <c r="H64" s="55"/>
      <c r="I64" s="55"/>
      <c r="J64" s="56">
        <v>2.4E-2</v>
      </c>
    </row>
    <row r="65" spans="2:10">
      <c r="B65" s="54" t="s">
        <v>87</v>
      </c>
      <c r="C65" s="55" t="s">
        <v>140</v>
      </c>
      <c r="D65" s="55">
        <v>30</v>
      </c>
      <c r="E65" s="55">
        <v>2060</v>
      </c>
      <c r="F65" s="55">
        <v>100</v>
      </c>
      <c r="G65" s="55">
        <v>1.9E-3</v>
      </c>
      <c r="H65" s="55">
        <v>0.06</v>
      </c>
      <c r="I65" s="55">
        <v>3.4000000000000002E-2</v>
      </c>
      <c r="J65" s="56">
        <v>3.4000000000000002E-2</v>
      </c>
    </row>
    <row r="66" spans="2:10">
      <c r="B66" s="54" t="s">
        <v>87</v>
      </c>
      <c r="C66" s="55" t="s">
        <v>141</v>
      </c>
      <c r="D66" s="55">
        <v>165</v>
      </c>
      <c r="E66" s="55">
        <v>840</v>
      </c>
      <c r="F66" s="55">
        <v>990000</v>
      </c>
      <c r="G66" s="55">
        <v>1.9999999999999999E-7</v>
      </c>
      <c r="H66" s="55"/>
      <c r="I66" s="55"/>
      <c r="J66" s="56">
        <v>0.05</v>
      </c>
    </row>
    <row r="67" spans="2:10">
      <c r="B67" s="54" t="s">
        <v>87</v>
      </c>
      <c r="C67" s="55" t="s">
        <v>142</v>
      </c>
      <c r="D67" s="55">
        <v>135</v>
      </c>
      <c r="E67" s="55">
        <v>840</v>
      </c>
      <c r="F67" s="55">
        <v>995000</v>
      </c>
      <c r="G67" s="55">
        <v>1.9999999999999999E-7</v>
      </c>
      <c r="H67" s="55"/>
      <c r="I67" s="55"/>
      <c r="J67" s="56">
        <v>4.3999999999999997E-2</v>
      </c>
    </row>
    <row r="68" spans="2:10">
      <c r="B68" s="54" t="s">
        <v>87</v>
      </c>
      <c r="C68" s="55" t="s">
        <v>143</v>
      </c>
      <c r="D68" s="55">
        <v>165</v>
      </c>
      <c r="E68" s="55">
        <v>840</v>
      </c>
      <c r="F68" s="55">
        <v>995000</v>
      </c>
      <c r="G68" s="55">
        <v>1.9999999999999999E-7</v>
      </c>
      <c r="H68" s="55"/>
      <c r="I68" s="55"/>
      <c r="J68" s="56">
        <v>4.8000000000000001E-2</v>
      </c>
    </row>
    <row r="69" spans="2:10">
      <c r="B69" s="54" t="s">
        <v>87</v>
      </c>
      <c r="C69" s="55" t="s">
        <v>144</v>
      </c>
      <c r="D69" s="55">
        <v>105</v>
      </c>
      <c r="E69" s="55">
        <v>840</v>
      </c>
      <c r="F69" s="55">
        <v>995000</v>
      </c>
      <c r="G69" s="55">
        <v>1.9999999999999999E-7</v>
      </c>
      <c r="H69" s="55"/>
      <c r="I69" s="55"/>
      <c r="J69" s="56">
        <v>3.7999999999999999E-2</v>
      </c>
    </row>
    <row r="70" spans="2:10">
      <c r="B70" s="54" t="s">
        <v>87</v>
      </c>
      <c r="C70" s="55" t="s">
        <v>145</v>
      </c>
      <c r="D70" s="55">
        <v>120</v>
      </c>
      <c r="E70" s="55">
        <v>840</v>
      </c>
      <c r="F70" s="55">
        <v>995000</v>
      </c>
      <c r="G70" s="55">
        <v>1.9999999999999999E-7</v>
      </c>
      <c r="H70" s="55"/>
      <c r="I70" s="55"/>
      <c r="J70" s="56">
        <v>0.04</v>
      </c>
    </row>
    <row r="71" spans="2:10">
      <c r="B71" s="54" t="s">
        <v>87</v>
      </c>
      <c r="C71" s="55" t="s">
        <v>146</v>
      </c>
      <c r="D71" s="55">
        <v>135</v>
      </c>
      <c r="E71" s="55">
        <v>840</v>
      </c>
      <c r="F71" s="55">
        <v>990000</v>
      </c>
      <c r="G71" s="55">
        <v>1.9999999999999999E-7</v>
      </c>
      <c r="H71" s="55"/>
      <c r="I71" s="55"/>
      <c r="J71" s="56">
        <v>4.3999999999999997E-2</v>
      </c>
    </row>
    <row r="72" spans="2:10">
      <c r="B72" s="54" t="s">
        <v>87</v>
      </c>
      <c r="C72" s="55" t="s">
        <v>147</v>
      </c>
      <c r="D72" s="55">
        <v>120</v>
      </c>
      <c r="E72" s="55">
        <v>840</v>
      </c>
      <c r="F72" s="55">
        <v>990000</v>
      </c>
      <c r="G72" s="55">
        <v>1.9999999999999999E-7</v>
      </c>
      <c r="H72" s="55"/>
      <c r="I72" s="55"/>
      <c r="J72" s="56">
        <v>0.04</v>
      </c>
    </row>
    <row r="73" spans="2:10">
      <c r="B73" s="54" t="s">
        <v>87</v>
      </c>
      <c r="C73" s="55" t="s">
        <v>148</v>
      </c>
      <c r="D73" s="55">
        <v>105</v>
      </c>
      <c r="E73" s="55">
        <v>840</v>
      </c>
      <c r="F73" s="55">
        <v>995000</v>
      </c>
      <c r="G73" s="55">
        <v>1.9999999999999999E-7</v>
      </c>
      <c r="H73" s="55"/>
      <c r="I73" s="55"/>
      <c r="J73" s="56">
        <v>3.7999999999999999E-2</v>
      </c>
    </row>
    <row r="74" spans="2:10">
      <c r="B74" s="54" t="s">
        <v>87</v>
      </c>
      <c r="C74" s="55" t="s">
        <v>149</v>
      </c>
      <c r="D74" s="55">
        <v>50</v>
      </c>
      <c r="E74" s="55">
        <v>2000</v>
      </c>
      <c r="F74" s="55">
        <v>1.5</v>
      </c>
      <c r="G74" s="55">
        <v>0.12</v>
      </c>
      <c r="H74" s="55"/>
      <c r="I74" s="55">
        <v>3.3000000000000002E-2</v>
      </c>
      <c r="J74" s="56">
        <v>0.04</v>
      </c>
    </row>
    <row r="75" spans="2:10">
      <c r="B75" s="54" t="s">
        <v>87</v>
      </c>
      <c r="C75" s="55" t="s">
        <v>150</v>
      </c>
      <c r="D75" s="55">
        <v>90</v>
      </c>
      <c r="E75" s="55">
        <v>1500</v>
      </c>
      <c r="F75" s="55">
        <v>50</v>
      </c>
      <c r="G75" s="55">
        <v>3.8E-3</v>
      </c>
      <c r="H75" s="55"/>
      <c r="I75" s="55">
        <v>4.2999999999999997E-2</v>
      </c>
      <c r="J75" s="56">
        <v>4.3999999999999997E-2</v>
      </c>
    </row>
    <row r="76" spans="2:10">
      <c r="B76" s="54" t="s">
        <v>87</v>
      </c>
      <c r="C76" s="55" t="s">
        <v>151</v>
      </c>
      <c r="D76" s="55">
        <v>75</v>
      </c>
      <c r="E76" s="55">
        <v>1500</v>
      </c>
      <c r="F76" s="55">
        <v>50</v>
      </c>
      <c r="G76" s="55">
        <v>3.8E-3</v>
      </c>
      <c r="H76" s="55"/>
      <c r="I76" s="55"/>
      <c r="J76" s="56">
        <v>4.2000000000000003E-2</v>
      </c>
    </row>
    <row r="77" spans="2:10">
      <c r="B77" s="54" t="s">
        <v>87</v>
      </c>
      <c r="C77" s="55" t="s">
        <v>152</v>
      </c>
      <c r="D77" s="55">
        <v>185</v>
      </c>
      <c r="E77" s="55">
        <v>1500</v>
      </c>
      <c r="F77" s="55">
        <v>50</v>
      </c>
      <c r="G77" s="55">
        <v>3.8E-3</v>
      </c>
      <c r="H77" s="55"/>
      <c r="I77" s="55">
        <v>4.4999999999999998E-2</v>
      </c>
      <c r="J77" s="56">
        <v>4.5999999999999999E-2</v>
      </c>
    </row>
    <row r="78" spans="2:10">
      <c r="B78" s="54" t="s">
        <v>87</v>
      </c>
      <c r="C78" s="55" t="s">
        <v>153</v>
      </c>
      <c r="D78" s="55">
        <v>135</v>
      </c>
      <c r="E78" s="55">
        <v>1500</v>
      </c>
      <c r="F78" s="55">
        <v>50</v>
      </c>
      <c r="G78" s="55">
        <v>3.8E-3</v>
      </c>
      <c r="H78" s="55"/>
      <c r="I78" s="55"/>
      <c r="J78" s="56">
        <v>4.5999999999999999E-2</v>
      </c>
    </row>
    <row r="79" spans="2:10">
      <c r="B79" s="54" t="s">
        <v>87</v>
      </c>
      <c r="C79" s="55" t="s">
        <v>154</v>
      </c>
      <c r="D79" s="55">
        <v>95</v>
      </c>
      <c r="E79" s="55">
        <v>1500</v>
      </c>
      <c r="F79" s="55">
        <v>50</v>
      </c>
      <c r="G79" s="55">
        <v>3.8E-3</v>
      </c>
      <c r="H79" s="55"/>
      <c r="I79" s="55"/>
      <c r="J79" s="56">
        <v>4.2000000000000003E-2</v>
      </c>
    </row>
    <row r="80" spans="2:10">
      <c r="B80" s="54" t="s">
        <v>87</v>
      </c>
      <c r="C80" s="55" t="s">
        <v>155</v>
      </c>
      <c r="D80" s="55">
        <v>215</v>
      </c>
      <c r="E80" s="55">
        <v>1500</v>
      </c>
      <c r="F80" s="55">
        <v>50</v>
      </c>
      <c r="G80" s="55">
        <v>3.8E-3</v>
      </c>
      <c r="H80" s="55"/>
      <c r="I80" s="55">
        <v>4.9000000000000002E-2</v>
      </c>
      <c r="J80" s="56">
        <v>0.05</v>
      </c>
    </row>
    <row r="81" spans="2:10">
      <c r="B81" s="54" t="s">
        <v>87</v>
      </c>
      <c r="C81" s="55" t="s">
        <v>156</v>
      </c>
      <c r="D81" s="55">
        <v>160</v>
      </c>
      <c r="E81" s="55">
        <v>1500</v>
      </c>
      <c r="F81" s="55">
        <v>50</v>
      </c>
      <c r="G81" s="55">
        <v>3.8E-3</v>
      </c>
      <c r="H81" s="55"/>
      <c r="I81" s="55">
        <v>4.4999999999999998E-2</v>
      </c>
      <c r="J81" s="56">
        <v>4.5999999999999999E-2</v>
      </c>
    </row>
    <row r="82" spans="2:10">
      <c r="B82" s="54" t="s">
        <v>87</v>
      </c>
      <c r="C82" s="55" t="s">
        <v>157</v>
      </c>
      <c r="D82" s="55">
        <v>113</v>
      </c>
      <c r="E82" s="55">
        <v>1500</v>
      </c>
      <c r="F82" s="55">
        <v>50</v>
      </c>
      <c r="G82" s="55">
        <v>3.8E-3</v>
      </c>
      <c r="H82" s="55"/>
      <c r="I82" s="55">
        <v>4.3999999999999997E-2</v>
      </c>
      <c r="J82" s="56">
        <v>4.4999999999999998E-2</v>
      </c>
    </row>
    <row r="83" spans="2:10">
      <c r="B83" s="54" t="s">
        <v>87</v>
      </c>
      <c r="C83" s="55" t="s">
        <v>158</v>
      </c>
      <c r="D83" s="55">
        <v>500</v>
      </c>
      <c r="E83" s="55">
        <v>1800</v>
      </c>
      <c r="F83" s="55">
        <v>50</v>
      </c>
      <c r="G83" s="55">
        <v>3.8E-3</v>
      </c>
      <c r="H83" s="55"/>
      <c r="I83" s="55"/>
      <c r="J83" s="56">
        <v>5.6000000000000001E-2</v>
      </c>
    </row>
    <row r="84" spans="2:10">
      <c r="B84" s="54" t="s">
        <v>87</v>
      </c>
      <c r="C84" s="55" t="s">
        <v>159</v>
      </c>
      <c r="D84" s="55">
        <v>400</v>
      </c>
      <c r="E84" s="55">
        <v>1800</v>
      </c>
      <c r="F84" s="55">
        <v>50</v>
      </c>
      <c r="G84" s="55">
        <v>3.8E-3</v>
      </c>
      <c r="H84" s="55"/>
      <c r="I84" s="55"/>
      <c r="J84" s="56">
        <v>4.7E-2</v>
      </c>
    </row>
    <row r="85" spans="2:10">
      <c r="B85" s="54" t="s">
        <v>87</v>
      </c>
      <c r="C85" s="55" t="s">
        <v>160</v>
      </c>
      <c r="D85" s="55">
        <v>500</v>
      </c>
      <c r="E85" s="55">
        <v>1800</v>
      </c>
      <c r="F85" s="55">
        <v>50</v>
      </c>
      <c r="G85" s="55">
        <v>3.8E-3</v>
      </c>
      <c r="H85" s="55"/>
      <c r="I85" s="55"/>
      <c r="J85" s="56">
        <v>4.7E-2</v>
      </c>
    </row>
    <row r="86" spans="2:10">
      <c r="B86" s="54" t="s">
        <v>87</v>
      </c>
      <c r="C86" s="55" t="s">
        <v>161</v>
      </c>
      <c r="D86" s="55">
        <v>400</v>
      </c>
      <c r="E86" s="55">
        <v>1800</v>
      </c>
      <c r="F86" s="55">
        <v>50</v>
      </c>
      <c r="G86" s="55">
        <v>3.8E-3</v>
      </c>
      <c r="H86" s="55"/>
      <c r="I86" s="55"/>
      <c r="J86" s="56">
        <v>4.3999999999999997E-2</v>
      </c>
    </row>
    <row r="87" spans="2:10">
      <c r="B87" s="54" t="s">
        <v>87</v>
      </c>
      <c r="C87" s="55" t="s">
        <v>162</v>
      </c>
      <c r="D87" s="55">
        <v>500</v>
      </c>
      <c r="E87" s="55">
        <v>1800</v>
      </c>
      <c r="F87" s="55">
        <v>50</v>
      </c>
      <c r="G87" s="55">
        <v>3.8E-3</v>
      </c>
      <c r="H87" s="55"/>
      <c r="I87" s="55"/>
      <c r="J87" s="56">
        <v>4.5999999999999999E-2</v>
      </c>
    </row>
    <row r="88" spans="2:10">
      <c r="B88" s="54" t="s">
        <v>87</v>
      </c>
      <c r="C88" s="55" t="s">
        <v>163</v>
      </c>
      <c r="D88" s="55">
        <v>140</v>
      </c>
      <c r="E88" s="55">
        <v>840</v>
      </c>
      <c r="F88" s="55">
        <v>540</v>
      </c>
      <c r="G88" s="55">
        <v>3.5E-4</v>
      </c>
      <c r="H88" s="55">
        <v>0.1</v>
      </c>
      <c r="I88" s="55">
        <v>0.06</v>
      </c>
      <c r="J88" s="56">
        <v>0.06</v>
      </c>
    </row>
    <row r="89" spans="2:10">
      <c r="B89" s="54" t="s">
        <v>87</v>
      </c>
      <c r="C89" s="55" t="s">
        <v>164</v>
      </c>
      <c r="D89" s="55">
        <v>180</v>
      </c>
      <c r="E89" s="55">
        <v>840</v>
      </c>
      <c r="F89" s="55">
        <v>540</v>
      </c>
      <c r="G89" s="55">
        <v>3.5E-4</v>
      </c>
      <c r="H89" s="55">
        <v>0.1</v>
      </c>
      <c r="I89" s="55">
        <v>6.9000000000000006E-2</v>
      </c>
      <c r="J89" s="56">
        <v>6.9000000000000006E-2</v>
      </c>
    </row>
    <row r="90" spans="2:10">
      <c r="B90" s="54" t="s">
        <v>87</v>
      </c>
      <c r="C90" s="55" t="s">
        <v>165</v>
      </c>
      <c r="D90" s="55">
        <v>120</v>
      </c>
      <c r="E90" s="55">
        <v>840</v>
      </c>
      <c r="F90" s="55">
        <v>40000</v>
      </c>
      <c r="G90" s="55">
        <v>4.6999999999999999E-6</v>
      </c>
      <c r="H90" s="55">
        <v>0.1</v>
      </c>
      <c r="I90" s="55">
        <v>4.3999999999999997E-2</v>
      </c>
      <c r="J90" s="56">
        <v>4.3999999999999997E-2</v>
      </c>
    </row>
    <row r="91" spans="2:10">
      <c r="B91" s="54" t="s">
        <v>87</v>
      </c>
      <c r="C91" s="55" t="s">
        <v>166</v>
      </c>
      <c r="D91" s="55">
        <v>135</v>
      </c>
      <c r="E91" s="55">
        <v>840</v>
      </c>
      <c r="F91" s="55">
        <v>40000</v>
      </c>
      <c r="G91" s="55">
        <v>4.6999999999999999E-6</v>
      </c>
      <c r="H91" s="55">
        <v>0.1</v>
      </c>
      <c r="I91" s="55">
        <v>4.8000000000000001E-2</v>
      </c>
      <c r="J91" s="56">
        <v>4.8000000000000001E-2</v>
      </c>
    </row>
    <row r="92" spans="2:10">
      <c r="B92" s="54" t="s">
        <v>87</v>
      </c>
      <c r="C92" s="55" t="s">
        <v>167</v>
      </c>
      <c r="D92" s="55">
        <v>165</v>
      </c>
      <c r="E92" s="55">
        <v>840</v>
      </c>
      <c r="F92" s="55">
        <v>40000</v>
      </c>
      <c r="G92" s="55">
        <v>4.6999999999999999E-6</v>
      </c>
      <c r="H92" s="55">
        <v>0.1</v>
      </c>
      <c r="I92" s="55">
        <v>5.1999999999999998E-2</v>
      </c>
      <c r="J92" s="56">
        <v>5.1999999999999998E-2</v>
      </c>
    </row>
    <row r="93" spans="2:10">
      <c r="B93" s="54" t="s">
        <v>87</v>
      </c>
      <c r="C93" s="55" t="s">
        <v>168</v>
      </c>
      <c r="D93" s="55">
        <v>10</v>
      </c>
      <c r="E93" s="55">
        <v>1270</v>
      </c>
      <c r="F93" s="55">
        <v>40</v>
      </c>
      <c r="G93" s="55">
        <v>4.7000000000000002E-3</v>
      </c>
      <c r="H93" s="55">
        <v>2.5</v>
      </c>
      <c r="I93" s="55">
        <v>0.05</v>
      </c>
      <c r="J93" s="56">
        <v>5.0999999999999997E-2</v>
      </c>
    </row>
    <row r="94" spans="2:10">
      <c r="B94" s="54" t="s">
        <v>87</v>
      </c>
      <c r="C94" s="55" t="s">
        <v>169</v>
      </c>
      <c r="D94" s="55">
        <v>15</v>
      </c>
      <c r="E94" s="55">
        <v>1270</v>
      </c>
      <c r="F94" s="55">
        <v>21</v>
      </c>
      <c r="G94" s="55">
        <v>8.9999999999999993E-3</v>
      </c>
      <c r="H94" s="55">
        <v>0.4</v>
      </c>
      <c r="I94" s="55">
        <v>4.2999999999999997E-2</v>
      </c>
      <c r="J94" s="56">
        <v>4.3999999999999997E-2</v>
      </c>
    </row>
    <row r="95" spans="2:10">
      <c r="B95" s="54" t="s">
        <v>87</v>
      </c>
      <c r="C95" s="55" t="s">
        <v>170</v>
      </c>
      <c r="D95" s="55">
        <v>20</v>
      </c>
      <c r="E95" s="55">
        <v>1270</v>
      </c>
      <c r="F95" s="55">
        <v>50</v>
      </c>
      <c r="G95" s="55">
        <v>3.8E-3</v>
      </c>
      <c r="H95" s="55">
        <v>2.5</v>
      </c>
      <c r="I95" s="55">
        <v>4.2999999999999997E-2</v>
      </c>
      <c r="J95" s="56">
        <v>4.3999999999999997E-2</v>
      </c>
    </row>
    <row r="96" spans="2:10">
      <c r="B96" s="54" t="s">
        <v>87</v>
      </c>
      <c r="C96" s="55" t="s">
        <v>171</v>
      </c>
      <c r="D96" s="55">
        <v>20</v>
      </c>
      <c r="E96" s="55">
        <v>1270</v>
      </c>
      <c r="F96" s="55">
        <v>35</v>
      </c>
      <c r="G96" s="55">
        <v>5.4000000000000003E-3</v>
      </c>
      <c r="H96" s="55">
        <v>0.4</v>
      </c>
      <c r="I96" s="55">
        <v>3.9E-2</v>
      </c>
      <c r="J96" s="56">
        <v>0.04</v>
      </c>
    </row>
    <row r="97" spans="2:10">
      <c r="B97" s="54" t="s">
        <v>87</v>
      </c>
      <c r="C97" s="55" t="s">
        <v>172</v>
      </c>
      <c r="D97" s="55">
        <v>60</v>
      </c>
      <c r="E97" s="55">
        <v>1270</v>
      </c>
      <c r="F97" s="55">
        <v>67</v>
      </c>
      <c r="G97" s="55">
        <v>2E-3</v>
      </c>
      <c r="H97" s="55">
        <v>0.6</v>
      </c>
      <c r="I97" s="55">
        <v>3.7999999999999999E-2</v>
      </c>
      <c r="J97" s="56">
        <v>3.9E-2</v>
      </c>
    </row>
    <row r="98" spans="2:10">
      <c r="B98" s="54" t="s">
        <v>87</v>
      </c>
      <c r="C98" s="55" t="s">
        <v>173</v>
      </c>
      <c r="D98" s="55">
        <v>25</v>
      </c>
      <c r="E98" s="55">
        <v>1270</v>
      </c>
      <c r="F98" s="55">
        <v>50</v>
      </c>
      <c r="G98" s="55">
        <v>3.8E-3</v>
      </c>
      <c r="H98" s="55">
        <v>0.4</v>
      </c>
      <c r="I98" s="55">
        <v>3.6999999999999998E-2</v>
      </c>
      <c r="J98" s="56">
        <v>3.7999999999999999E-2</v>
      </c>
    </row>
    <row r="99" spans="2:10">
      <c r="B99" s="54" t="s">
        <v>87</v>
      </c>
      <c r="C99" s="55" t="s">
        <v>174</v>
      </c>
      <c r="D99" s="55">
        <v>30</v>
      </c>
      <c r="E99" s="55">
        <v>1270</v>
      </c>
      <c r="F99" s="55">
        <v>60</v>
      </c>
      <c r="G99" s="55">
        <v>3.0999999999999999E-3</v>
      </c>
      <c r="H99" s="55">
        <v>0.3</v>
      </c>
      <c r="I99" s="55">
        <v>3.5000000000000003E-2</v>
      </c>
      <c r="J99" s="56">
        <v>3.5000000000000003E-2</v>
      </c>
    </row>
    <row r="100" spans="2:10">
      <c r="B100" s="54" t="s">
        <v>87</v>
      </c>
      <c r="C100" s="55" t="s">
        <v>175</v>
      </c>
      <c r="D100" s="55">
        <v>35</v>
      </c>
      <c r="E100" s="55">
        <v>1270</v>
      </c>
      <c r="F100" s="55">
        <v>70</v>
      </c>
      <c r="G100" s="55">
        <v>2.7000000000000001E-3</v>
      </c>
      <c r="H100" s="55">
        <v>0.3</v>
      </c>
      <c r="I100" s="55">
        <v>3.3000000000000002E-2</v>
      </c>
      <c r="J100" s="56">
        <v>3.3000000000000002E-2</v>
      </c>
    </row>
    <row r="101" spans="2:10">
      <c r="B101" s="54" t="s">
        <v>87</v>
      </c>
      <c r="C101" s="55" t="s">
        <v>176</v>
      </c>
      <c r="D101" s="55">
        <v>35</v>
      </c>
      <c r="E101" s="55">
        <v>800</v>
      </c>
      <c r="F101" s="55">
        <v>2.5</v>
      </c>
      <c r="G101" s="55">
        <v>7.4999999999999997E-2</v>
      </c>
      <c r="H101" s="55">
        <v>1.1000000000000001</v>
      </c>
      <c r="I101" s="55">
        <v>4.2999999999999997E-2</v>
      </c>
      <c r="J101" s="56">
        <v>4.8000000000000001E-2</v>
      </c>
    </row>
    <row r="102" spans="2:10">
      <c r="B102" s="54" t="s">
        <v>87</v>
      </c>
      <c r="C102" s="55" t="s">
        <v>177</v>
      </c>
      <c r="D102" s="55">
        <v>35</v>
      </c>
      <c r="E102" s="55">
        <v>1500</v>
      </c>
      <c r="F102" s="55">
        <v>220</v>
      </c>
      <c r="G102" s="55">
        <v>8.5999999999999998E-4</v>
      </c>
      <c r="H102" s="55">
        <v>3</v>
      </c>
      <c r="I102" s="55">
        <v>3.2000000000000001E-2</v>
      </c>
      <c r="J102" s="56">
        <v>3.2000000000000001E-2</v>
      </c>
    </row>
    <row r="103" spans="2:10">
      <c r="B103" s="54" t="s">
        <v>87</v>
      </c>
      <c r="C103" s="55" t="s">
        <v>178</v>
      </c>
      <c r="D103" s="55">
        <v>35</v>
      </c>
      <c r="E103" s="55">
        <v>1510</v>
      </c>
      <c r="F103" s="55">
        <v>220</v>
      </c>
      <c r="G103" s="55">
        <v>8.5999999999999998E-4</v>
      </c>
      <c r="H103" s="55">
        <v>3</v>
      </c>
      <c r="I103" s="55">
        <v>2.9000000000000001E-2</v>
      </c>
      <c r="J103" s="56">
        <v>2.9000000000000001E-2</v>
      </c>
    </row>
    <row r="104" spans="2:10">
      <c r="B104" s="54" t="s">
        <v>87</v>
      </c>
      <c r="C104" s="55" t="s">
        <v>179</v>
      </c>
      <c r="D104" s="55">
        <v>60</v>
      </c>
      <c r="E104" s="55">
        <v>1350</v>
      </c>
      <c r="F104" s="55">
        <v>265</v>
      </c>
      <c r="G104" s="55">
        <v>7.1000000000000002E-4</v>
      </c>
      <c r="H104" s="55">
        <v>10</v>
      </c>
      <c r="I104" s="55">
        <v>4.2999999999999997E-2</v>
      </c>
      <c r="J104" s="56">
        <v>5.0999999999999997E-2</v>
      </c>
    </row>
    <row r="105" spans="2:10">
      <c r="B105" s="54" t="s">
        <v>87</v>
      </c>
      <c r="C105" s="55" t="s">
        <v>180</v>
      </c>
      <c r="D105" s="55">
        <v>20</v>
      </c>
      <c r="E105" s="55">
        <v>1270</v>
      </c>
      <c r="F105" s="55">
        <v>30</v>
      </c>
      <c r="G105" s="55">
        <v>6.3E-3</v>
      </c>
      <c r="H105" s="55"/>
      <c r="I105" s="55">
        <v>3.4000000000000002E-2</v>
      </c>
      <c r="J105" s="56">
        <v>3.6999999999999998E-2</v>
      </c>
    </row>
    <row r="106" spans="2:10">
      <c r="B106" s="54" t="s">
        <v>87</v>
      </c>
      <c r="C106" s="55" t="s">
        <v>181</v>
      </c>
      <c r="D106" s="55">
        <v>20</v>
      </c>
      <c r="E106" s="55">
        <v>1270</v>
      </c>
      <c r="F106" s="55">
        <v>70</v>
      </c>
      <c r="G106" s="55">
        <v>2.7000000000000001E-3</v>
      </c>
      <c r="H106" s="55"/>
      <c r="I106" s="55">
        <v>3.4000000000000002E-2</v>
      </c>
      <c r="J106" s="56">
        <v>3.6999999999999998E-2</v>
      </c>
    </row>
    <row r="107" spans="2:10">
      <c r="B107" s="54" t="s">
        <v>87</v>
      </c>
      <c r="C107" s="55" t="s">
        <v>182</v>
      </c>
      <c r="D107" s="55">
        <v>20</v>
      </c>
      <c r="E107" s="55">
        <v>1270</v>
      </c>
      <c r="F107" s="55">
        <v>30</v>
      </c>
      <c r="G107" s="55">
        <v>6.3E-3</v>
      </c>
      <c r="H107" s="55"/>
      <c r="I107" s="55">
        <v>3.4000000000000002E-2</v>
      </c>
      <c r="J107" s="56">
        <v>3.6999999999999998E-2</v>
      </c>
    </row>
    <row r="108" spans="2:10">
      <c r="B108" s="54" t="s">
        <v>87</v>
      </c>
      <c r="C108" s="55" t="s">
        <v>183</v>
      </c>
      <c r="D108" s="55">
        <v>20</v>
      </c>
      <c r="E108" s="55">
        <v>1270</v>
      </c>
      <c r="F108" s="55">
        <v>70</v>
      </c>
      <c r="G108" s="55">
        <v>2.7000000000000001E-3</v>
      </c>
      <c r="H108" s="55"/>
      <c r="I108" s="55">
        <v>3.4000000000000002E-2</v>
      </c>
      <c r="J108" s="56">
        <v>3.6999999999999998E-2</v>
      </c>
    </row>
    <row r="109" spans="2:10">
      <c r="B109" s="54" t="s">
        <v>87</v>
      </c>
      <c r="C109" s="55" t="s">
        <v>184</v>
      </c>
      <c r="D109" s="55">
        <v>25</v>
      </c>
      <c r="E109" s="55">
        <v>1270</v>
      </c>
      <c r="F109" s="55">
        <v>30</v>
      </c>
      <c r="G109" s="55">
        <v>6.3E-3</v>
      </c>
      <c r="H109" s="55"/>
      <c r="I109" s="55">
        <v>3.2000000000000001E-2</v>
      </c>
      <c r="J109" s="56">
        <v>3.5000000000000003E-2</v>
      </c>
    </row>
    <row r="110" spans="2:10">
      <c r="B110" s="54" t="s">
        <v>87</v>
      </c>
      <c r="C110" s="55" t="s">
        <v>185</v>
      </c>
      <c r="D110" s="55">
        <v>25</v>
      </c>
      <c r="E110" s="55">
        <v>1270</v>
      </c>
      <c r="F110" s="55">
        <v>70</v>
      </c>
      <c r="G110" s="55">
        <v>2.7000000000000001E-3</v>
      </c>
      <c r="H110" s="55"/>
      <c r="I110" s="55">
        <v>3.2000000000000001E-2</v>
      </c>
      <c r="J110" s="56">
        <v>3.5000000000000003E-2</v>
      </c>
    </row>
    <row r="111" spans="2:10">
      <c r="B111" s="54" t="s">
        <v>87</v>
      </c>
      <c r="C111" s="55" t="s">
        <v>186</v>
      </c>
      <c r="D111" s="55">
        <v>30</v>
      </c>
      <c r="E111" s="55">
        <v>1270</v>
      </c>
      <c r="F111" s="55">
        <v>40</v>
      </c>
      <c r="G111" s="55">
        <v>4.7000000000000002E-3</v>
      </c>
      <c r="H111" s="55"/>
      <c r="I111" s="55">
        <v>3.2000000000000001E-2</v>
      </c>
      <c r="J111" s="56">
        <v>3.4000000000000002E-2</v>
      </c>
    </row>
    <row r="112" spans="2:10">
      <c r="B112" s="54" t="s">
        <v>87</v>
      </c>
      <c r="C112" s="55" t="s">
        <v>187</v>
      </c>
      <c r="D112" s="55">
        <v>30</v>
      </c>
      <c r="E112" s="55">
        <v>1270</v>
      </c>
      <c r="F112" s="55">
        <v>70</v>
      </c>
      <c r="G112" s="55">
        <v>2.7000000000000001E-3</v>
      </c>
      <c r="H112" s="55"/>
      <c r="I112" s="55">
        <v>3.2000000000000001E-2</v>
      </c>
      <c r="J112" s="56">
        <v>3.4000000000000002E-2</v>
      </c>
    </row>
    <row r="113" spans="2:10">
      <c r="B113" s="54" t="s">
        <v>87</v>
      </c>
      <c r="C113" s="55" t="s">
        <v>188</v>
      </c>
      <c r="D113" s="55">
        <v>30</v>
      </c>
      <c r="E113" s="55">
        <v>1270</v>
      </c>
      <c r="F113" s="55">
        <v>100</v>
      </c>
      <c r="G113" s="55">
        <v>1.9E-3</v>
      </c>
      <c r="H113" s="55"/>
      <c r="I113" s="55">
        <v>3.2000000000000001E-2</v>
      </c>
      <c r="J113" s="56">
        <v>3.4000000000000002E-2</v>
      </c>
    </row>
    <row r="114" spans="2:10">
      <c r="B114" s="54" t="s">
        <v>87</v>
      </c>
      <c r="C114" s="55" t="s">
        <v>189</v>
      </c>
      <c r="D114" s="55">
        <v>12</v>
      </c>
      <c r="E114" s="55">
        <v>1270</v>
      </c>
      <c r="F114" s="55">
        <v>20</v>
      </c>
      <c r="G114" s="55">
        <v>9.4000000000000004E-3</v>
      </c>
      <c r="H114" s="55"/>
      <c r="I114" s="55">
        <v>3.9E-2</v>
      </c>
      <c r="J114" s="56">
        <v>4.2000000000000003E-2</v>
      </c>
    </row>
    <row r="115" spans="2:10">
      <c r="B115" s="54" t="s">
        <v>87</v>
      </c>
      <c r="C115" s="55" t="s">
        <v>190</v>
      </c>
      <c r="D115" s="55">
        <v>12</v>
      </c>
      <c r="E115" s="55">
        <v>1270</v>
      </c>
      <c r="F115" s="55">
        <v>40</v>
      </c>
      <c r="G115" s="55">
        <v>4.7000000000000002E-3</v>
      </c>
      <c r="H115" s="55"/>
      <c r="I115" s="55">
        <v>3.9E-2</v>
      </c>
      <c r="J115" s="56">
        <v>4.2000000000000003E-2</v>
      </c>
    </row>
    <row r="116" spans="2:10">
      <c r="B116" s="54" t="s">
        <v>87</v>
      </c>
      <c r="C116" s="55" t="s">
        <v>191</v>
      </c>
      <c r="D116" s="55">
        <v>15</v>
      </c>
      <c r="E116" s="55">
        <v>1270</v>
      </c>
      <c r="F116" s="55">
        <v>20</v>
      </c>
      <c r="G116" s="55">
        <v>9.4000000000000004E-3</v>
      </c>
      <c r="H116" s="55"/>
      <c r="I116" s="55">
        <v>3.5999999999999997E-2</v>
      </c>
      <c r="J116" s="56">
        <v>3.9E-2</v>
      </c>
    </row>
    <row r="117" spans="2:10">
      <c r="B117" s="54" t="s">
        <v>87</v>
      </c>
      <c r="C117" s="55" t="s">
        <v>192</v>
      </c>
      <c r="D117" s="55">
        <v>15</v>
      </c>
      <c r="E117" s="55">
        <v>1270</v>
      </c>
      <c r="F117" s="55">
        <v>40</v>
      </c>
      <c r="G117" s="55">
        <v>4.7000000000000002E-3</v>
      </c>
      <c r="H117" s="55"/>
      <c r="I117" s="55">
        <v>3.5999999999999997E-2</v>
      </c>
      <c r="J117" s="56">
        <v>3.9E-2</v>
      </c>
    </row>
    <row r="118" spans="2:10">
      <c r="B118" s="54" t="s">
        <v>87</v>
      </c>
      <c r="C118" s="55" t="s">
        <v>193</v>
      </c>
      <c r="D118" s="55">
        <v>15</v>
      </c>
      <c r="E118" s="55">
        <v>1270</v>
      </c>
      <c r="F118" s="55">
        <v>20</v>
      </c>
      <c r="G118" s="55">
        <v>9.4000000000000004E-3</v>
      </c>
      <c r="H118" s="55"/>
      <c r="I118" s="55">
        <v>3.5999999999999997E-2</v>
      </c>
      <c r="J118" s="56">
        <v>3.9E-2</v>
      </c>
    </row>
    <row r="119" spans="2:10">
      <c r="B119" s="54" t="s">
        <v>87</v>
      </c>
      <c r="C119" s="55" t="s">
        <v>194</v>
      </c>
      <c r="D119" s="55">
        <v>15</v>
      </c>
      <c r="E119" s="55">
        <v>1270</v>
      </c>
      <c r="F119" s="55">
        <v>40</v>
      </c>
      <c r="G119" s="55">
        <v>4.7000000000000002E-3</v>
      </c>
      <c r="H119" s="55"/>
      <c r="I119" s="55">
        <v>3.5999999999999997E-2</v>
      </c>
      <c r="J119" s="56">
        <v>3.9E-2</v>
      </c>
    </row>
    <row r="120" spans="2:10">
      <c r="B120" s="54" t="s">
        <v>87</v>
      </c>
      <c r="C120" s="55" t="s">
        <v>195</v>
      </c>
      <c r="D120" s="55">
        <v>15</v>
      </c>
      <c r="E120" s="55">
        <v>1270</v>
      </c>
      <c r="F120" s="55">
        <v>20</v>
      </c>
      <c r="G120" s="55">
        <v>9.4000000000000004E-3</v>
      </c>
      <c r="H120" s="55"/>
      <c r="I120" s="55">
        <v>3.5999999999999997E-2</v>
      </c>
      <c r="J120" s="56">
        <v>3.9E-2</v>
      </c>
    </row>
    <row r="121" spans="2:10">
      <c r="B121" s="54" t="s">
        <v>87</v>
      </c>
      <c r="C121" s="55" t="s">
        <v>196</v>
      </c>
      <c r="D121" s="55">
        <v>15</v>
      </c>
      <c r="E121" s="55">
        <v>1270</v>
      </c>
      <c r="F121" s="55">
        <v>40</v>
      </c>
      <c r="G121" s="55">
        <v>4.7000000000000002E-3</v>
      </c>
      <c r="H121" s="55"/>
      <c r="I121" s="55">
        <v>3.5999999999999997E-2</v>
      </c>
      <c r="J121" s="56">
        <v>3.9E-2</v>
      </c>
    </row>
    <row r="122" spans="2:10">
      <c r="B122" s="54" t="s">
        <v>87</v>
      </c>
      <c r="C122" s="55" t="s">
        <v>197</v>
      </c>
      <c r="D122" s="55">
        <v>30</v>
      </c>
      <c r="E122" s="55">
        <v>1270</v>
      </c>
      <c r="F122" s="55">
        <v>30</v>
      </c>
      <c r="G122" s="55">
        <v>6.1999999999999998E-3</v>
      </c>
      <c r="H122" s="55"/>
      <c r="I122" s="55">
        <v>3.2000000000000001E-2</v>
      </c>
      <c r="J122" s="56">
        <v>3.4000000000000002E-2</v>
      </c>
    </row>
    <row r="123" spans="2:10">
      <c r="B123" s="54" t="s">
        <v>87</v>
      </c>
      <c r="C123" s="55" t="s">
        <v>198</v>
      </c>
      <c r="D123" s="55">
        <v>30</v>
      </c>
      <c r="E123" s="55">
        <v>1270</v>
      </c>
      <c r="F123" s="55">
        <v>30</v>
      </c>
      <c r="G123" s="55">
        <v>6.1999999999999998E-3</v>
      </c>
      <c r="H123" s="55"/>
      <c r="I123" s="55">
        <v>3.2000000000000001E-2</v>
      </c>
      <c r="J123" s="56">
        <v>3.4000000000000002E-2</v>
      </c>
    </row>
    <row r="124" spans="2:10">
      <c r="B124" s="54" t="s">
        <v>87</v>
      </c>
      <c r="C124" s="55" t="s">
        <v>199</v>
      </c>
      <c r="D124" s="55">
        <v>30</v>
      </c>
      <c r="E124" s="55">
        <v>1270</v>
      </c>
      <c r="F124" s="55">
        <v>30</v>
      </c>
      <c r="G124" s="55">
        <v>6.3E-3</v>
      </c>
      <c r="H124" s="55"/>
      <c r="I124" s="55">
        <v>3.2000000000000001E-2</v>
      </c>
      <c r="J124" s="56">
        <v>3.4000000000000002E-2</v>
      </c>
    </row>
    <row r="125" spans="2:10">
      <c r="B125" s="54" t="s">
        <v>87</v>
      </c>
      <c r="C125" s="55" t="s">
        <v>200</v>
      </c>
      <c r="D125" s="55">
        <v>30</v>
      </c>
      <c r="E125" s="55">
        <v>1270</v>
      </c>
      <c r="F125" s="55">
        <v>60</v>
      </c>
      <c r="G125" s="55">
        <v>3.0999999999999999E-3</v>
      </c>
      <c r="H125" s="55"/>
      <c r="I125" s="55">
        <v>3.2000000000000001E-2</v>
      </c>
      <c r="J125" s="56">
        <v>3.4000000000000002E-2</v>
      </c>
    </row>
    <row r="126" spans="2:10">
      <c r="B126" s="54" t="s">
        <v>87</v>
      </c>
      <c r="C126" s="55" t="s">
        <v>201</v>
      </c>
      <c r="D126" s="55">
        <v>30</v>
      </c>
      <c r="E126" s="55">
        <v>1270</v>
      </c>
      <c r="F126" s="55">
        <v>100</v>
      </c>
      <c r="G126" s="55">
        <v>1.9E-3</v>
      </c>
      <c r="H126" s="55"/>
      <c r="I126" s="55">
        <v>3.2000000000000001E-2</v>
      </c>
      <c r="J126" s="56">
        <v>3.4000000000000002E-2</v>
      </c>
    </row>
    <row r="127" spans="2:10">
      <c r="B127" s="54" t="s">
        <v>87</v>
      </c>
      <c r="C127" s="55" t="s">
        <v>202</v>
      </c>
      <c r="D127" s="55">
        <v>30</v>
      </c>
      <c r="E127" s="55">
        <v>1270</v>
      </c>
      <c r="F127" s="55">
        <v>30</v>
      </c>
      <c r="G127" s="55">
        <v>6.1999999999999998E-3</v>
      </c>
      <c r="H127" s="55"/>
      <c r="I127" s="55">
        <v>3.2000000000000001E-2</v>
      </c>
      <c r="J127" s="56">
        <v>3.4000000000000002E-2</v>
      </c>
    </row>
    <row r="128" spans="2:10">
      <c r="B128" s="54" t="s">
        <v>87</v>
      </c>
      <c r="C128" s="55" t="s">
        <v>203</v>
      </c>
      <c r="D128" s="55">
        <v>10</v>
      </c>
      <c r="E128" s="55">
        <v>1270</v>
      </c>
      <c r="F128" s="55">
        <v>20</v>
      </c>
      <c r="G128" s="55">
        <v>9.4000000000000004E-3</v>
      </c>
      <c r="H128" s="55"/>
      <c r="I128" s="55">
        <v>4.4999999999999998E-2</v>
      </c>
      <c r="J128" s="56">
        <v>4.5999999999999999E-2</v>
      </c>
    </row>
    <row r="129" spans="2:10">
      <c r="B129" s="54" t="s">
        <v>87</v>
      </c>
      <c r="C129" s="55" t="s">
        <v>204</v>
      </c>
      <c r="D129" s="55">
        <v>10</v>
      </c>
      <c r="E129" s="55">
        <v>1270</v>
      </c>
      <c r="F129" s="55">
        <v>40</v>
      </c>
      <c r="G129" s="55">
        <v>4.7000000000000002E-3</v>
      </c>
      <c r="H129" s="55"/>
      <c r="I129" s="55">
        <v>4.4999999999999998E-2</v>
      </c>
      <c r="J129" s="56">
        <v>4.5999999999999999E-2</v>
      </c>
    </row>
    <row r="130" spans="2:10">
      <c r="B130" s="54" t="s">
        <v>87</v>
      </c>
      <c r="C130" s="55" t="s">
        <v>205</v>
      </c>
      <c r="D130" s="55">
        <v>15</v>
      </c>
      <c r="E130" s="55">
        <v>1270</v>
      </c>
      <c r="F130" s="55">
        <v>20</v>
      </c>
      <c r="G130" s="55">
        <v>9.4000000000000004E-3</v>
      </c>
      <c r="H130" s="55"/>
      <c r="I130" s="55">
        <v>3.9E-2</v>
      </c>
      <c r="J130" s="56">
        <v>0.04</v>
      </c>
    </row>
    <row r="131" spans="2:10">
      <c r="B131" s="54" t="s">
        <v>87</v>
      </c>
      <c r="C131" s="55" t="s">
        <v>206</v>
      </c>
      <c r="D131" s="55">
        <v>15</v>
      </c>
      <c r="E131" s="55">
        <v>1270</v>
      </c>
      <c r="F131" s="55">
        <v>40</v>
      </c>
      <c r="G131" s="55">
        <v>4.7000000000000002E-3</v>
      </c>
      <c r="H131" s="55"/>
      <c r="I131" s="55">
        <v>3.9E-2</v>
      </c>
      <c r="J131" s="56">
        <v>0.04</v>
      </c>
    </row>
    <row r="132" spans="2:10">
      <c r="B132" s="54" t="s">
        <v>87</v>
      </c>
      <c r="C132" s="55" t="s">
        <v>207</v>
      </c>
      <c r="D132" s="55">
        <v>17</v>
      </c>
      <c r="E132" s="55">
        <v>1270</v>
      </c>
      <c r="F132" s="55">
        <v>30</v>
      </c>
      <c r="G132" s="55">
        <v>6.1999999999999998E-3</v>
      </c>
      <c r="H132" s="55">
        <v>0.4</v>
      </c>
      <c r="I132" s="55">
        <v>3.2000000000000001E-2</v>
      </c>
      <c r="J132" s="56">
        <v>3.3000000000000002E-2</v>
      </c>
    </row>
    <row r="133" spans="2:10">
      <c r="B133" s="54" t="s">
        <v>87</v>
      </c>
      <c r="C133" s="55" t="s">
        <v>208</v>
      </c>
      <c r="D133" s="55">
        <v>32</v>
      </c>
      <c r="E133" s="55">
        <v>1270</v>
      </c>
      <c r="F133" s="55">
        <v>70</v>
      </c>
      <c r="G133" s="55">
        <v>2.7000000000000001E-3</v>
      </c>
      <c r="H133" s="55">
        <v>0.3</v>
      </c>
      <c r="I133" s="55">
        <v>2.9000000000000001E-2</v>
      </c>
      <c r="J133" s="56">
        <v>3.1E-2</v>
      </c>
    </row>
    <row r="134" spans="2:10">
      <c r="B134" s="54" t="s">
        <v>87</v>
      </c>
      <c r="C134" s="55" t="s">
        <v>209</v>
      </c>
      <c r="D134" s="55">
        <v>10</v>
      </c>
      <c r="E134" s="55">
        <v>1270</v>
      </c>
      <c r="F134" s="55">
        <v>30</v>
      </c>
      <c r="G134" s="55">
        <v>6.1999999999999998E-3</v>
      </c>
      <c r="H134" s="55"/>
      <c r="I134" s="55">
        <v>4.2000000000000003E-2</v>
      </c>
      <c r="J134" s="56">
        <v>4.4999999999999998E-2</v>
      </c>
    </row>
    <row r="135" spans="2:10">
      <c r="B135" s="54" t="s">
        <v>87</v>
      </c>
      <c r="C135" s="55" t="s">
        <v>210</v>
      </c>
      <c r="D135" s="55">
        <v>15</v>
      </c>
      <c r="E135" s="55">
        <v>1270</v>
      </c>
      <c r="F135" s="55">
        <v>30</v>
      </c>
      <c r="G135" s="55">
        <v>6.1999999999999998E-3</v>
      </c>
      <c r="H135" s="55"/>
      <c r="I135" s="55">
        <v>3.5999999999999997E-2</v>
      </c>
      <c r="J135" s="56">
        <v>3.9E-2</v>
      </c>
    </row>
    <row r="136" spans="2:10">
      <c r="B136" s="54" t="s">
        <v>87</v>
      </c>
      <c r="C136" s="55" t="s">
        <v>211</v>
      </c>
      <c r="D136" s="55">
        <v>150</v>
      </c>
      <c r="E136" s="55">
        <v>1150</v>
      </c>
      <c r="F136" s="55">
        <v>5</v>
      </c>
      <c r="G136" s="55">
        <v>3.7999999999999999E-2</v>
      </c>
      <c r="H136" s="55"/>
      <c r="I136" s="55">
        <v>0.05</v>
      </c>
      <c r="J136" s="56">
        <v>5.5E-2</v>
      </c>
    </row>
    <row r="137" spans="2:10">
      <c r="B137" s="54" t="s">
        <v>87</v>
      </c>
      <c r="C137" s="55" t="s">
        <v>212</v>
      </c>
      <c r="D137" s="55">
        <v>30</v>
      </c>
      <c r="E137" s="55">
        <v>2060</v>
      </c>
      <c r="F137" s="55">
        <v>100</v>
      </c>
      <c r="G137" s="55">
        <v>1.9E-3</v>
      </c>
      <c r="H137" s="55"/>
      <c r="I137" s="55">
        <v>3.1E-2</v>
      </c>
      <c r="J137" s="56">
        <v>3.1E-2</v>
      </c>
    </row>
    <row r="138" spans="2:10">
      <c r="B138" s="54" t="s">
        <v>87</v>
      </c>
      <c r="C138" s="55" t="s">
        <v>213</v>
      </c>
      <c r="D138" s="55">
        <v>30</v>
      </c>
      <c r="E138" s="55">
        <v>2060</v>
      </c>
      <c r="F138" s="55">
        <v>100</v>
      </c>
      <c r="G138" s="55">
        <v>1.9E-3</v>
      </c>
      <c r="H138" s="55"/>
      <c r="I138" s="55">
        <v>3.4000000000000002E-2</v>
      </c>
      <c r="J138" s="56">
        <v>3.4000000000000002E-2</v>
      </c>
    </row>
    <row r="139" spans="2:10">
      <c r="B139" s="54" t="s">
        <v>87</v>
      </c>
      <c r="C139" s="55" t="s">
        <v>214</v>
      </c>
      <c r="D139" s="55">
        <v>30</v>
      </c>
      <c r="E139" s="55">
        <v>2060</v>
      </c>
      <c r="F139" s="55">
        <v>100</v>
      </c>
      <c r="G139" s="55">
        <v>1.9E-3</v>
      </c>
      <c r="H139" s="55"/>
      <c r="I139" s="55">
        <v>3.4000000000000002E-2</v>
      </c>
      <c r="J139" s="56">
        <v>3.4000000000000002E-2</v>
      </c>
    </row>
    <row r="140" spans="2:10">
      <c r="B140" s="54" t="s">
        <v>87</v>
      </c>
      <c r="C140" s="55" t="s">
        <v>215</v>
      </c>
      <c r="D140" s="55">
        <v>30</v>
      </c>
      <c r="E140" s="55">
        <v>2060</v>
      </c>
      <c r="F140" s="55">
        <v>100</v>
      </c>
      <c r="G140" s="55">
        <v>1.9E-3</v>
      </c>
      <c r="H140" s="55"/>
      <c r="I140" s="55">
        <v>3.4000000000000002E-2</v>
      </c>
      <c r="J140" s="56">
        <v>3.4000000000000002E-2</v>
      </c>
    </row>
    <row r="141" spans="2:10">
      <c r="B141" s="54" t="s">
        <v>87</v>
      </c>
      <c r="C141" s="55" t="s">
        <v>216</v>
      </c>
      <c r="D141" s="55">
        <v>30</v>
      </c>
      <c r="E141" s="55">
        <v>2060</v>
      </c>
      <c r="F141" s="55">
        <v>100</v>
      </c>
      <c r="G141" s="55">
        <v>1.9E-3</v>
      </c>
      <c r="H141" s="55"/>
      <c r="I141" s="55">
        <v>3.4000000000000002E-2</v>
      </c>
      <c r="J141" s="56">
        <v>3.4000000000000002E-2</v>
      </c>
    </row>
    <row r="142" spans="2:10" ht="12.75" customHeight="1">
      <c r="B142" s="54" t="s">
        <v>87</v>
      </c>
      <c r="C142" s="55" t="s">
        <v>217</v>
      </c>
      <c r="D142" s="55">
        <v>30</v>
      </c>
      <c r="E142" s="55">
        <v>2060</v>
      </c>
      <c r="F142" s="55">
        <v>100</v>
      </c>
      <c r="G142" s="55">
        <v>1.9E-3</v>
      </c>
      <c r="H142" s="55"/>
      <c r="I142" s="55">
        <v>3.4000000000000002E-2</v>
      </c>
      <c r="J142" s="56">
        <v>3.4000000000000002E-2</v>
      </c>
    </row>
    <row r="143" spans="2:10" ht="12.75" customHeight="1">
      <c r="B143" s="54" t="s">
        <v>87</v>
      </c>
      <c r="C143" s="55" t="s">
        <v>218</v>
      </c>
      <c r="D143" s="55">
        <v>30</v>
      </c>
      <c r="E143" s="55">
        <v>2060</v>
      </c>
      <c r="F143" s="55">
        <v>100</v>
      </c>
      <c r="G143" s="55">
        <v>1.9E-3</v>
      </c>
      <c r="H143" s="55"/>
      <c r="I143" s="55">
        <v>3.4000000000000002E-2</v>
      </c>
      <c r="J143" s="56">
        <v>3.4000000000000002E-2</v>
      </c>
    </row>
    <row r="144" spans="2:10" ht="12.75" customHeight="1">
      <c r="B144" s="54" t="s">
        <v>219</v>
      </c>
      <c r="C144" s="55" t="s">
        <v>220</v>
      </c>
      <c r="D144" s="55">
        <v>120</v>
      </c>
      <c r="E144" s="55">
        <v>840</v>
      </c>
      <c r="F144" s="55">
        <v>1.2999999523162842</v>
      </c>
      <c r="G144" s="55">
        <v>0.14000000000000001</v>
      </c>
      <c r="H144" s="55"/>
      <c r="I144" s="55">
        <v>3.5000000000000003E-2</v>
      </c>
      <c r="J144" s="56">
        <v>3.9E-2</v>
      </c>
    </row>
    <row r="145" spans="2:10">
      <c r="B145" s="54" t="s">
        <v>219</v>
      </c>
      <c r="C145" s="55" t="s">
        <v>221</v>
      </c>
      <c r="D145" s="55">
        <v>30</v>
      </c>
      <c r="E145" s="55">
        <v>840</v>
      </c>
      <c r="F145" s="55">
        <v>1</v>
      </c>
      <c r="G145" s="55">
        <v>0.19</v>
      </c>
      <c r="H145" s="55"/>
      <c r="I145" s="55">
        <v>0.04</v>
      </c>
      <c r="J145" s="56">
        <v>4.3999999999999997E-2</v>
      </c>
    </row>
    <row r="146" spans="2:10">
      <c r="B146" s="54" t="s">
        <v>219</v>
      </c>
      <c r="C146" s="55" t="s">
        <v>222</v>
      </c>
      <c r="D146" s="55">
        <v>13</v>
      </c>
      <c r="E146" s="55">
        <v>840</v>
      </c>
      <c r="F146" s="55">
        <v>1</v>
      </c>
      <c r="G146" s="55">
        <v>0.19</v>
      </c>
      <c r="H146" s="55"/>
      <c r="I146" s="55">
        <v>3.9E-2</v>
      </c>
      <c r="J146" s="56">
        <v>4.2999999999999997E-2</v>
      </c>
    </row>
    <row r="147" spans="2:10">
      <c r="B147" s="54" t="s">
        <v>219</v>
      </c>
      <c r="C147" s="55" t="s">
        <v>223</v>
      </c>
      <c r="D147" s="55">
        <v>100</v>
      </c>
      <c r="E147" s="55">
        <v>840</v>
      </c>
      <c r="F147" s="55">
        <v>1.2000000476837158</v>
      </c>
      <c r="G147" s="55">
        <v>0.16</v>
      </c>
      <c r="H147" s="55"/>
      <c r="I147" s="55">
        <v>0.04</v>
      </c>
      <c r="J147" s="56">
        <v>4.3999999999999997E-2</v>
      </c>
    </row>
    <row r="148" spans="2:10">
      <c r="B148" s="54" t="s">
        <v>219</v>
      </c>
      <c r="C148" s="55" t="s">
        <v>224</v>
      </c>
      <c r="D148" s="55">
        <v>15</v>
      </c>
      <c r="E148" s="55">
        <v>840</v>
      </c>
      <c r="F148" s="55">
        <v>1</v>
      </c>
      <c r="G148" s="55">
        <v>0.19</v>
      </c>
      <c r="H148" s="55"/>
      <c r="I148" s="55">
        <v>3.9E-2</v>
      </c>
      <c r="J148" s="56">
        <v>4.2999999999999997E-2</v>
      </c>
    </row>
    <row r="149" spans="2:10">
      <c r="B149" s="54" t="s">
        <v>219</v>
      </c>
      <c r="C149" s="55" t="s">
        <v>225</v>
      </c>
      <c r="D149" s="55">
        <v>150</v>
      </c>
      <c r="E149" s="55">
        <v>840</v>
      </c>
      <c r="F149" s="55">
        <v>1.3999999761581421</v>
      </c>
      <c r="G149" s="55">
        <v>0.13</v>
      </c>
      <c r="H149" s="55"/>
      <c r="I149" s="55">
        <v>0.04</v>
      </c>
      <c r="J149" s="56">
        <v>4.3999999999999997E-2</v>
      </c>
    </row>
    <row r="150" spans="2:10">
      <c r="B150" s="54" t="s">
        <v>219</v>
      </c>
      <c r="C150" s="55" t="s">
        <v>226</v>
      </c>
      <c r="D150" s="55">
        <v>150</v>
      </c>
      <c r="E150" s="55">
        <v>840</v>
      </c>
      <c r="F150" s="55">
        <v>1.3999999761581421</v>
      </c>
      <c r="G150" s="55">
        <v>0.13</v>
      </c>
      <c r="H150" s="55"/>
      <c r="I150" s="55">
        <v>0.04</v>
      </c>
      <c r="J150" s="56">
        <v>4.3999999999999997E-2</v>
      </c>
    </row>
    <row r="151" spans="2:10">
      <c r="B151" s="54" t="s">
        <v>219</v>
      </c>
      <c r="C151" s="55" t="s">
        <v>227</v>
      </c>
      <c r="D151" s="55">
        <v>50</v>
      </c>
      <c r="E151" s="55">
        <v>880</v>
      </c>
      <c r="F151" s="55">
        <v>1.3999999761581421</v>
      </c>
      <c r="G151" s="55">
        <v>0.13</v>
      </c>
      <c r="H151" s="55"/>
      <c r="I151" s="55">
        <v>3.5000000000000003E-2</v>
      </c>
      <c r="J151" s="56">
        <v>3.9E-2</v>
      </c>
    </row>
    <row r="152" spans="2:10">
      <c r="B152" s="54" t="s">
        <v>219</v>
      </c>
      <c r="C152" s="55" t="s">
        <v>228</v>
      </c>
      <c r="D152" s="55">
        <v>60</v>
      </c>
      <c r="E152" s="55">
        <v>1010</v>
      </c>
      <c r="F152" s="55">
        <v>1</v>
      </c>
      <c r="G152" s="55">
        <v>0.19</v>
      </c>
      <c r="H152" s="55"/>
      <c r="I152" s="55">
        <v>3.5000000000000003E-2</v>
      </c>
      <c r="J152" s="56">
        <v>3.9E-2</v>
      </c>
    </row>
    <row r="153" spans="2:10">
      <c r="B153" s="54" t="s">
        <v>219</v>
      </c>
      <c r="C153" s="55" t="s">
        <v>229</v>
      </c>
      <c r="D153" s="55">
        <v>100</v>
      </c>
      <c r="E153" s="55">
        <v>840</v>
      </c>
      <c r="F153" s="55">
        <v>1.2000000476837158</v>
      </c>
      <c r="G153" s="55">
        <v>0.16</v>
      </c>
      <c r="H153" s="55"/>
      <c r="I153" s="55">
        <v>3.5000000000000003E-2</v>
      </c>
      <c r="J153" s="56">
        <v>3.9E-2</v>
      </c>
    </row>
    <row r="154" spans="2:10">
      <c r="B154" s="54" t="s">
        <v>219</v>
      </c>
      <c r="C154" s="55" t="s">
        <v>230</v>
      </c>
      <c r="D154" s="55">
        <v>17</v>
      </c>
      <c r="E154" s="55">
        <v>840</v>
      </c>
      <c r="F154" s="55">
        <v>1</v>
      </c>
      <c r="G154" s="55">
        <v>0.19</v>
      </c>
      <c r="H154" s="55"/>
      <c r="I154" s="55">
        <v>3.7999999999999999E-2</v>
      </c>
      <c r="J154" s="56">
        <v>4.2000000000000003E-2</v>
      </c>
    </row>
    <row r="155" spans="2:10">
      <c r="B155" s="54" t="s">
        <v>219</v>
      </c>
      <c r="C155" s="55" t="s">
        <v>231</v>
      </c>
      <c r="D155" s="55">
        <v>17</v>
      </c>
      <c r="E155" s="55">
        <v>840</v>
      </c>
      <c r="F155" s="55">
        <v>1</v>
      </c>
      <c r="G155" s="55">
        <v>0.19</v>
      </c>
      <c r="H155" s="55"/>
      <c r="I155" s="55">
        <v>3.7999999999999999E-2</v>
      </c>
      <c r="J155" s="56">
        <v>4.2000000000000003E-2</v>
      </c>
    </row>
    <row r="156" spans="2:10">
      <c r="B156" s="54" t="s">
        <v>219</v>
      </c>
      <c r="C156" s="55" t="s">
        <v>232</v>
      </c>
      <c r="D156" s="55">
        <v>100</v>
      </c>
      <c r="E156" s="55">
        <v>840</v>
      </c>
      <c r="F156" s="55">
        <v>1.2000000476837158</v>
      </c>
      <c r="G156" s="55">
        <v>0.16</v>
      </c>
      <c r="H156" s="55"/>
      <c r="I156" s="55">
        <v>0.04</v>
      </c>
      <c r="J156" s="56">
        <v>4.3999999999999997E-2</v>
      </c>
    </row>
    <row r="157" spans="2:10">
      <c r="B157" s="54" t="s">
        <v>219</v>
      </c>
      <c r="C157" s="55" t="s">
        <v>233</v>
      </c>
      <c r="D157" s="55">
        <v>100</v>
      </c>
      <c r="E157" s="55">
        <v>840</v>
      </c>
      <c r="F157" s="55">
        <v>1.2000000476837158</v>
      </c>
      <c r="G157" s="55">
        <v>0.16</v>
      </c>
      <c r="H157" s="55"/>
      <c r="I157" s="55">
        <v>0.04</v>
      </c>
      <c r="J157" s="56">
        <v>4.3999999999999997E-2</v>
      </c>
    </row>
    <row r="158" spans="2:10">
      <c r="B158" s="54" t="s">
        <v>219</v>
      </c>
      <c r="C158" s="55" t="s">
        <v>234</v>
      </c>
      <c r="D158" s="55">
        <v>14</v>
      </c>
      <c r="E158" s="55">
        <v>840</v>
      </c>
      <c r="F158" s="55">
        <v>1</v>
      </c>
      <c r="G158" s="55">
        <v>0.19</v>
      </c>
      <c r="H158" s="55"/>
      <c r="I158" s="55">
        <v>3.9E-2</v>
      </c>
      <c r="J158" s="56">
        <v>4.2999999999999997E-2</v>
      </c>
    </row>
    <row r="159" spans="2:10">
      <c r="B159" s="54" t="s">
        <v>219</v>
      </c>
      <c r="C159" s="55" t="s">
        <v>235</v>
      </c>
      <c r="D159" s="55">
        <v>30</v>
      </c>
      <c r="E159" s="55">
        <v>840</v>
      </c>
      <c r="F159" s="55">
        <v>1</v>
      </c>
      <c r="G159" s="55">
        <v>0.19</v>
      </c>
      <c r="H159" s="55"/>
      <c r="I159" s="55">
        <v>3.9E-2</v>
      </c>
      <c r="J159" s="56">
        <v>4.2999999999999997E-2</v>
      </c>
    </row>
    <row r="160" spans="2:10">
      <c r="B160" s="54" t="s">
        <v>219</v>
      </c>
      <c r="C160" s="55" t="s">
        <v>236</v>
      </c>
      <c r="D160" s="55">
        <v>30</v>
      </c>
      <c r="E160" s="55">
        <v>840</v>
      </c>
      <c r="F160" s="55">
        <v>1</v>
      </c>
      <c r="G160" s="55">
        <v>0.19</v>
      </c>
      <c r="H160" s="55"/>
      <c r="I160" s="55">
        <v>3.9E-2</v>
      </c>
      <c r="J160" s="56">
        <v>4.2999999999999997E-2</v>
      </c>
    </row>
    <row r="161" spans="2:10">
      <c r="B161" s="54" t="s">
        <v>219</v>
      </c>
      <c r="C161" s="55" t="s">
        <v>237</v>
      </c>
      <c r="D161" s="55">
        <v>100</v>
      </c>
      <c r="E161" s="55">
        <v>1150</v>
      </c>
      <c r="F161" s="55">
        <v>1.1000000238418579</v>
      </c>
      <c r="G161" s="55">
        <v>0.17</v>
      </c>
      <c r="H161" s="55"/>
      <c r="I161" s="55">
        <v>3.9E-2</v>
      </c>
      <c r="J161" s="56">
        <v>4.2999999999999997E-2</v>
      </c>
    </row>
    <row r="162" spans="2:10">
      <c r="B162" s="54" t="s">
        <v>219</v>
      </c>
      <c r="C162" s="55" t="s">
        <v>238</v>
      </c>
      <c r="D162" s="55">
        <v>96</v>
      </c>
      <c r="E162" s="55">
        <v>990</v>
      </c>
      <c r="F162" s="55">
        <v>1.5</v>
      </c>
      <c r="G162" s="55">
        <v>0.13</v>
      </c>
      <c r="H162" s="55"/>
      <c r="I162" s="55">
        <v>4.2000000000000003E-2</v>
      </c>
      <c r="J162" s="56">
        <v>4.5999999999999999E-2</v>
      </c>
    </row>
    <row r="163" spans="2:10">
      <c r="B163" s="54" t="s">
        <v>219</v>
      </c>
      <c r="C163" s="55" t="s">
        <v>239</v>
      </c>
      <c r="D163" s="55">
        <v>175</v>
      </c>
      <c r="E163" s="55">
        <v>1150</v>
      </c>
      <c r="F163" s="55">
        <v>1.5</v>
      </c>
      <c r="G163" s="55">
        <v>0.13</v>
      </c>
      <c r="H163" s="55"/>
      <c r="I163" s="55">
        <v>3.9E-2</v>
      </c>
      <c r="J163" s="56">
        <v>4.2999999999999997E-2</v>
      </c>
    </row>
    <row r="164" spans="2:10">
      <c r="B164" s="54" t="s">
        <v>219</v>
      </c>
      <c r="C164" s="55" t="s">
        <v>240</v>
      </c>
      <c r="D164" s="55">
        <v>150</v>
      </c>
      <c r="E164" s="55">
        <v>1150</v>
      </c>
      <c r="F164" s="55">
        <v>1</v>
      </c>
      <c r="G164" s="55">
        <v>0.19</v>
      </c>
      <c r="H164" s="55"/>
      <c r="I164" s="55">
        <v>3.9E-2</v>
      </c>
      <c r="J164" s="56">
        <v>4.2999999999999997E-2</v>
      </c>
    </row>
    <row r="165" spans="2:10">
      <c r="B165" s="54" t="s">
        <v>219</v>
      </c>
      <c r="C165" s="55" t="s">
        <v>241</v>
      </c>
      <c r="D165" s="55">
        <v>150</v>
      </c>
      <c r="E165" s="55">
        <v>1140</v>
      </c>
      <c r="F165" s="55">
        <v>1.5</v>
      </c>
      <c r="G165" s="55">
        <v>0.13</v>
      </c>
      <c r="H165" s="55"/>
      <c r="I165" s="55">
        <v>3.9E-2</v>
      </c>
      <c r="J165" s="56">
        <v>4.2999999999999997E-2</v>
      </c>
    </row>
    <row r="166" spans="2:10">
      <c r="B166" s="54" t="s">
        <v>219</v>
      </c>
      <c r="C166" s="55" t="s">
        <v>242</v>
      </c>
      <c r="D166" s="55">
        <v>150</v>
      </c>
      <c r="E166" s="55">
        <v>1150</v>
      </c>
      <c r="F166" s="55">
        <v>1</v>
      </c>
      <c r="G166" s="55">
        <v>0.19</v>
      </c>
      <c r="H166" s="55"/>
      <c r="I166" s="55">
        <v>3.9E-2</v>
      </c>
      <c r="J166" s="56">
        <v>4.2999999999999997E-2</v>
      </c>
    </row>
    <row r="167" spans="2:10">
      <c r="B167" s="54" t="s">
        <v>219</v>
      </c>
      <c r="C167" s="55" t="s">
        <v>243</v>
      </c>
      <c r="D167" s="55">
        <v>150</v>
      </c>
      <c r="E167" s="55">
        <v>1150</v>
      </c>
      <c r="F167" s="55">
        <v>1.5</v>
      </c>
      <c r="G167" s="55">
        <v>0.13</v>
      </c>
      <c r="H167" s="55"/>
      <c r="I167" s="55">
        <v>3.9E-2</v>
      </c>
      <c r="J167" s="56">
        <v>4.2999999999999997E-2</v>
      </c>
    </row>
    <row r="168" spans="2:10">
      <c r="B168" s="54" t="s">
        <v>219</v>
      </c>
      <c r="C168" s="55" t="s">
        <v>244</v>
      </c>
      <c r="D168" s="55">
        <v>40</v>
      </c>
      <c r="E168" s="55">
        <v>840</v>
      </c>
      <c r="F168" s="55">
        <v>1</v>
      </c>
      <c r="G168" s="55">
        <v>0.19</v>
      </c>
      <c r="H168" s="55"/>
      <c r="I168" s="55">
        <v>3.5999999999999997E-2</v>
      </c>
      <c r="J168" s="56">
        <v>0.04</v>
      </c>
    </row>
    <row r="169" spans="2:10">
      <c r="B169" s="54" t="s">
        <v>219</v>
      </c>
      <c r="C169" s="55" t="s">
        <v>245</v>
      </c>
      <c r="D169" s="55">
        <v>30</v>
      </c>
      <c r="E169" s="55">
        <v>840</v>
      </c>
      <c r="F169" s="55">
        <v>1</v>
      </c>
      <c r="G169" s="55">
        <v>0.19</v>
      </c>
      <c r="H169" s="55"/>
      <c r="I169" s="55">
        <v>4.1000000000000002E-2</v>
      </c>
      <c r="J169" s="56">
        <v>4.4999999999999998E-2</v>
      </c>
    </row>
    <row r="170" spans="2:10">
      <c r="B170" s="54" t="s">
        <v>219</v>
      </c>
      <c r="C170" s="55" t="s">
        <v>246</v>
      </c>
      <c r="D170" s="55">
        <v>16</v>
      </c>
      <c r="E170" s="55">
        <v>840</v>
      </c>
      <c r="F170" s="55">
        <v>1</v>
      </c>
      <c r="G170" s="55">
        <v>0.19</v>
      </c>
      <c r="H170" s="55"/>
      <c r="I170" s="55">
        <v>3.7999999999999999E-2</v>
      </c>
      <c r="J170" s="56">
        <v>4.2000000000000003E-2</v>
      </c>
    </row>
    <row r="171" spans="2:10">
      <c r="B171" s="54" t="s">
        <v>219</v>
      </c>
      <c r="C171" s="55" t="s">
        <v>247</v>
      </c>
      <c r="D171" s="55">
        <v>100</v>
      </c>
      <c r="E171" s="55">
        <v>840</v>
      </c>
      <c r="F171" s="55">
        <v>1.2000000476837158</v>
      </c>
      <c r="G171" s="55">
        <v>0.16</v>
      </c>
      <c r="H171" s="55"/>
      <c r="I171" s="55">
        <v>0.04</v>
      </c>
      <c r="J171" s="56">
        <v>4.3999999999999997E-2</v>
      </c>
    </row>
    <row r="172" spans="2:10">
      <c r="B172" s="54" t="s">
        <v>219</v>
      </c>
      <c r="C172" s="55" t="s">
        <v>248</v>
      </c>
      <c r="D172" s="55">
        <v>11</v>
      </c>
      <c r="E172" s="55">
        <v>840</v>
      </c>
      <c r="F172" s="55">
        <v>1</v>
      </c>
      <c r="G172" s="55">
        <v>0.19</v>
      </c>
      <c r="H172" s="55"/>
      <c r="I172" s="55">
        <v>4.2000000000000003E-2</v>
      </c>
      <c r="J172" s="56">
        <v>4.5999999999999999E-2</v>
      </c>
    </row>
    <row r="173" spans="2:10">
      <c r="B173" s="54" t="s">
        <v>219</v>
      </c>
      <c r="C173" s="55" t="s">
        <v>249</v>
      </c>
      <c r="D173" s="55">
        <v>14</v>
      </c>
      <c r="E173" s="55">
        <v>840</v>
      </c>
      <c r="F173" s="55">
        <v>1</v>
      </c>
      <c r="G173" s="55">
        <v>0.19</v>
      </c>
      <c r="H173" s="55"/>
      <c r="I173" s="55">
        <v>3.7999999999999999E-2</v>
      </c>
      <c r="J173" s="56">
        <v>4.2000000000000003E-2</v>
      </c>
    </row>
    <row r="174" spans="2:10">
      <c r="B174" s="54" t="s">
        <v>219</v>
      </c>
      <c r="C174" s="55" t="s">
        <v>250</v>
      </c>
      <c r="D174" s="55">
        <v>100</v>
      </c>
      <c r="E174" s="55">
        <v>840</v>
      </c>
      <c r="F174" s="55">
        <v>1.2000000476837158</v>
      </c>
      <c r="G174" s="55">
        <v>0.16</v>
      </c>
      <c r="H174" s="55"/>
      <c r="I174" s="55">
        <v>0.04</v>
      </c>
      <c r="J174" s="56">
        <v>4.3999999999999997E-2</v>
      </c>
    </row>
    <row r="175" spans="2:10">
      <c r="B175" s="54" t="s">
        <v>219</v>
      </c>
      <c r="C175" s="55" t="s">
        <v>251</v>
      </c>
      <c r="D175" s="55">
        <v>120</v>
      </c>
      <c r="E175" s="55">
        <v>840</v>
      </c>
      <c r="F175" s="55">
        <v>1.2999999523162842</v>
      </c>
      <c r="G175" s="55">
        <v>0.14000000000000001</v>
      </c>
      <c r="H175" s="55"/>
      <c r="I175" s="55">
        <v>3.5000000000000003E-2</v>
      </c>
      <c r="J175" s="56">
        <v>3.9E-2</v>
      </c>
    </row>
    <row r="176" spans="2:10">
      <c r="B176" s="54" t="s">
        <v>219</v>
      </c>
      <c r="C176" s="55" t="s">
        <v>252</v>
      </c>
      <c r="D176" s="55">
        <v>120</v>
      </c>
      <c r="E176" s="55">
        <v>840</v>
      </c>
      <c r="F176" s="55">
        <v>1.2999999523162842</v>
      </c>
      <c r="G176" s="55">
        <v>0.14000000000000001</v>
      </c>
      <c r="H176" s="55"/>
      <c r="I176" s="55">
        <v>0.04</v>
      </c>
      <c r="J176" s="56">
        <v>4.3999999999999997E-2</v>
      </c>
    </row>
    <row r="177" spans="2:10">
      <c r="B177" s="54" t="s">
        <v>219</v>
      </c>
      <c r="C177" s="55" t="s">
        <v>253</v>
      </c>
      <c r="D177" s="55">
        <v>150</v>
      </c>
      <c r="E177" s="55">
        <v>840</v>
      </c>
      <c r="F177" s="55">
        <v>1.3999999761581421</v>
      </c>
      <c r="G177" s="55">
        <v>0.13</v>
      </c>
      <c r="H177" s="55"/>
      <c r="I177" s="55">
        <v>0.04</v>
      </c>
      <c r="J177" s="56">
        <v>4.3999999999999997E-2</v>
      </c>
    </row>
    <row r="178" spans="2:10">
      <c r="B178" s="54" t="s">
        <v>219</v>
      </c>
      <c r="C178" s="55" t="s">
        <v>254</v>
      </c>
      <c r="D178" s="55">
        <v>64</v>
      </c>
      <c r="E178" s="55">
        <v>920</v>
      </c>
      <c r="F178" s="55">
        <v>1</v>
      </c>
      <c r="G178" s="55">
        <v>0.19</v>
      </c>
      <c r="H178" s="55"/>
      <c r="I178" s="55">
        <v>3.3000000000000002E-2</v>
      </c>
      <c r="J178" s="56">
        <v>3.5999999999999997E-2</v>
      </c>
    </row>
    <row r="179" spans="2:10">
      <c r="B179" s="54" t="s">
        <v>219</v>
      </c>
      <c r="C179" s="55" t="s">
        <v>255</v>
      </c>
      <c r="D179" s="55">
        <v>100</v>
      </c>
      <c r="E179" s="55">
        <v>1015</v>
      </c>
      <c r="F179" s="55">
        <v>1</v>
      </c>
      <c r="G179" s="55">
        <v>0.19</v>
      </c>
      <c r="H179" s="55"/>
      <c r="I179" s="55">
        <v>3.3000000000000002E-2</v>
      </c>
      <c r="J179" s="56">
        <v>3.5999999999999997E-2</v>
      </c>
    </row>
    <row r="180" spans="2:10">
      <c r="B180" s="54" t="s">
        <v>219</v>
      </c>
      <c r="C180" s="55" t="s">
        <v>256</v>
      </c>
      <c r="D180" s="55">
        <v>100</v>
      </c>
      <c r="E180" s="55">
        <v>840</v>
      </c>
      <c r="F180" s="55">
        <v>1.2000000476837158</v>
      </c>
      <c r="G180" s="55">
        <v>0.16</v>
      </c>
      <c r="H180" s="55"/>
      <c r="I180" s="55">
        <v>0.04</v>
      </c>
      <c r="J180" s="56">
        <v>4.3999999999999997E-2</v>
      </c>
    </row>
    <row r="181" spans="2:10">
      <c r="B181" s="54" t="s">
        <v>219</v>
      </c>
      <c r="C181" s="55" t="s">
        <v>257</v>
      </c>
      <c r="D181" s="55">
        <v>150</v>
      </c>
      <c r="E181" s="55">
        <v>840</v>
      </c>
      <c r="F181" s="55">
        <v>1.3999999761581421</v>
      </c>
      <c r="G181" s="55">
        <v>0.13</v>
      </c>
      <c r="H181" s="55"/>
      <c r="I181" s="55">
        <v>0.04</v>
      </c>
      <c r="J181" s="56">
        <v>4.3999999999999997E-2</v>
      </c>
    </row>
    <row r="182" spans="2:10">
      <c r="B182" s="54" t="s">
        <v>219</v>
      </c>
      <c r="C182" s="55" t="s">
        <v>258</v>
      </c>
      <c r="D182" s="55">
        <v>100</v>
      </c>
      <c r="E182" s="55">
        <v>840</v>
      </c>
      <c r="F182" s="55">
        <v>1.2000000476837158</v>
      </c>
      <c r="G182" s="55">
        <v>0.16</v>
      </c>
      <c r="H182" s="55"/>
      <c r="I182" s="55">
        <v>3.5000000000000003E-2</v>
      </c>
      <c r="J182" s="56">
        <v>3.9E-2</v>
      </c>
    </row>
    <row r="183" spans="2:10">
      <c r="B183" s="54" t="s">
        <v>219</v>
      </c>
      <c r="C183" s="55" t="s">
        <v>259</v>
      </c>
      <c r="D183" s="55">
        <v>100</v>
      </c>
      <c r="E183" s="55">
        <v>840</v>
      </c>
      <c r="F183" s="55">
        <v>1.2000000476837158</v>
      </c>
      <c r="G183" s="55">
        <v>0.16</v>
      </c>
      <c r="H183" s="55"/>
      <c r="I183" s="55">
        <v>0.04</v>
      </c>
      <c r="J183" s="56">
        <v>4.3999999999999997E-2</v>
      </c>
    </row>
    <row r="184" spans="2:10">
      <c r="B184" s="54" t="s">
        <v>219</v>
      </c>
      <c r="C184" s="55" t="s">
        <v>260</v>
      </c>
      <c r="D184" s="55">
        <v>238</v>
      </c>
      <c r="E184" s="55">
        <v>1200</v>
      </c>
      <c r="F184" s="55">
        <v>3</v>
      </c>
      <c r="G184" s="55">
        <v>6.3E-2</v>
      </c>
      <c r="H184" s="55"/>
      <c r="I184" s="55">
        <v>0.05</v>
      </c>
      <c r="J184" s="56">
        <v>5.5E-2</v>
      </c>
    </row>
    <row r="185" spans="2:10">
      <c r="B185" s="54" t="s">
        <v>219</v>
      </c>
      <c r="C185" s="55" t="s">
        <v>261</v>
      </c>
      <c r="D185" s="55">
        <v>180</v>
      </c>
      <c r="E185" s="55">
        <v>1200</v>
      </c>
      <c r="F185" s="55">
        <v>5</v>
      </c>
      <c r="G185" s="55">
        <v>3.7999999999999999E-2</v>
      </c>
      <c r="H185" s="55"/>
      <c r="I185" s="55">
        <v>5.5E-2</v>
      </c>
      <c r="J185" s="56">
        <v>0.06</v>
      </c>
    </row>
    <row r="186" spans="2:10">
      <c r="B186" s="54" t="s">
        <v>219</v>
      </c>
      <c r="C186" s="55" t="s">
        <v>262</v>
      </c>
      <c r="D186" s="55">
        <v>153</v>
      </c>
      <c r="E186" s="55">
        <v>1200</v>
      </c>
      <c r="F186" s="55">
        <v>4</v>
      </c>
      <c r="G186" s="55">
        <v>4.7E-2</v>
      </c>
      <c r="H186" s="55"/>
      <c r="I186" s="55">
        <v>0.05</v>
      </c>
      <c r="J186" s="56">
        <v>5.5E-2</v>
      </c>
    </row>
    <row r="187" spans="2:10">
      <c r="B187" s="54" t="s">
        <v>219</v>
      </c>
      <c r="C187" s="55" t="s">
        <v>263</v>
      </c>
      <c r="D187" s="55">
        <v>240</v>
      </c>
      <c r="E187" s="55">
        <v>1200</v>
      </c>
      <c r="F187" s="55">
        <v>5</v>
      </c>
      <c r="G187" s="55">
        <v>3.7999999999999999E-2</v>
      </c>
      <c r="H187" s="55"/>
      <c r="I187" s="55">
        <v>0.05</v>
      </c>
      <c r="J187" s="56">
        <v>5.5E-2</v>
      </c>
    </row>
    <row r="188" spans="2:10">
      <c r="B188" s="54" t="s">
        <v>219</v>
      </c>
      <c r="C188" s="55" t="s">
        <v>264</v>
      </c>
      <c r="D188" s="55">
        <v>227</v>
      </c>
      <c r="E188" s="55">
        <v>1200</v>
      </c>
      <c r="F188" s="55">
        <v>4</v>
      </c>
      <c r="G188" s="55">
        <v>4.7E-2</v>
      </c>
      <c r="H188" s="55"/>
      <c r="I188" s="55">
        <v>4.8000000000000001E-2</v>
      </c>
      <c r="J188" s="56">
        <v>5.2999999999999999E-2</v>
      </c>
    </row>
    <row r="189" spans="2:10">
      <c r="B189" s="54" t="s">
        <v>219</v>
      </c>
      <c r="C189" s="55" t="s">
        <v>265</v>
      </c>
      <c r="D189" s="55">
        <v>150</v>
      </c>
      <c r="E189" s="55">
        <v>1150</v>
      </c>
      <c r="F189" s="55">
        <v>5</v>
      </c>
      <c r="G189" s="55">
        <v>3.7999999999999999E-2</v>
      </c>
      <c r="H189" s="55">
        <v>2</v>
      </c>
      <c r="I189" s="55">
        <v>8.8999999999999996E-2</v>
      </c>
      <c r="J189" s="56">
        <v>9.5000000000000001E-2</v>
      </c>
    </row>
    <row r="190" spans="2:10">
      <c r="B190" s="54" t="s">
        <v>219</v>
      </c>
      <c r="C190" s="55" t="s">
        <v>266</v>
      </c>
      <c r="D190" s="55">
        <v>350</v>
      </c>
      <c r="E190" s="55">
        <v>1150</v>
      </c>
      <c r="F190" s="55">
        <v>9</v>
      </c>
      <c r="G190" s="55">
        <v>2.1000000000000001E-2</v>
      </c>
      <c r="H190" s="55">
        <v>3</v>
      </c>
      <c r="I190" s="55">
        <v>5.1999999999999998E-2</v>
      </c>
      <c r="J190" s="56">
        <v>5.3999999999999999E-2</v>
      </c>
    </row>
    <row r="191" spans="2:10">
      <c r="B191" s="54" t="s">
        <v>219</v>
      </c>
      <c r="C191" s="55" t="s">
        <v>267</v>
      </c>
      <c r="D191" s="55">
        <v>500</v>
      </c>
      <c r="E191" s="55">
        <v>1150</v>
      </c>
      <c r="F191" s="55">
        <v>12</v>
      </c>
      <c r="G191" s="55">
        <v>1.6E-2</v>
      </c>
      <c r="H191" s="55">
        <v>4</v>
      </c>
      <c r="I191" s="55">
        <v>7.8E-2</v>
      </c>
      <c r="J191" s="56">
        <v>8.7999999999999995E-2</v>
      </c>
    </row>
    <row r="192" spans="2:10">
      <c r="B192" s="54" t="s">
        <v>219</v>
      </c>
      <c r="C192" s="55" t="s">
        <v>268</v>
      </c>
      <c r="D192" s="55">
        <v>100</v>
      </c>
      <c r="E192" s="55">
        <v>880</v>
      </c>
      <c r="F192" s="55">
        <v>1.1000000000000001</v>
      </c>
      <c r="G192" s="55">
        <v>0.17</v>
      </c>
      <c r="H192" s="55">
        <v>1.5</v>
      </c>
      <c r="I192" s="55">
        <v>4.3999999999999997E-2</v>
      </c>
      <c r="J192" s="56">
        <v>5.6000000000000001E-2</v>
      </c>
    </row>
    <row r="193" spans="2:10">
      <c r="B193" s="54" t="s">
        <v>219</v>
      </c>
      <c r="C193" s="55" t="s">
        <v>269</v>
      </c>
      <c r="D193" s="55">
        <v>200</v>
      </c>
      <c r="E193" s="55">
        <v>880</v>
      </c>
      <c r="F193" s="55">
        <v>2</v>
      </c>
      <c r="G193" s="55">
        <v>0.09</v>
      </c>
      <c r="H193" s="55">
        <v>1.5</v>
      </c>
      <c r="I193" s="55">
        <v>4.8000000000000001E-2</v>
      </c>
      <c r="J193" s="56">
        <v>6.4000000000000001E-2</v>
      </c>
    </row>
    <row r="194" spans="2:10">
      <c r="B194" s="54" t="s">
        <v>219</v>
      </c>
      <c r="C194" s="55" t="s">
        <v>270</v>
      </c>
      <c r="D194" s="55">
        <v>300</v>
      </c>
      <c r="E194" s="55">
        <v>880</v>
      </c>
      <c r="F194" s="55">
        <v>3</v>
      </c>
      <c r="G194" s="55">
        <v>6.3E-2</v>
      </c>
      <c r="H194" s="55">
        <v>1.5</v>
      </c>
      <c r="I194" s="55">
        <v>5.8000000000000003E-2</v>
      </c>
      <c r="J194" s="56">
        <v>7.9000000000000001E-2</v>
      </c>
    </row>
    <row r="195" spans="2:10">
      <c r="B195" s="54" t="s">
        <v>219</v>
      </c>
      <c r="C195" s="55" t="s">
        <v>271</v>
      </c>
      <c r="D195" s="55">
        <v>50</v>
      </c>
      <c r="E195" s="55">
        <v>880</v>
      </c>
      <c r="F195" s="55">
        <v>1.2000000476837158</v>
      </c>
      <c r="G195" s="55">
        <v>0.16</v>
      </c>
      <c r="H195" s="55">
        <v>0.8</v>
      </c>
      <c r="I195" s="55">
        <v>3.9E-2</v>
      </c>
      <c r="J195" s="56">
        <v>4.1000000000000002E-2</v>
      </c>
    </row>
    <row r="196" spans="2:10">
      <c r="B196" s="54" t="s">
        <v>219</v>
      </c>
      <c r="C196" s="55" t="s">
        <v>272</v>
      </c>
      <c r="D196" s="55">
        <v>75</v>
      </c>
      <c r="E196" s="55">
        <v>900</v>
      </c>
      <c r="F196" s="55">
        <v>1.5</v>
      </c>
      <c r="G196" s="55">
        <v>0.13</v>
      </c>
      <c r="H196" s="55">
        <v>0.8</v>
      </c>
      <c r="I196" s="55">
        <v>3.6999999999999998E-2</v>
      </c>
      <c r="J196" s="56">
        <v>3.9E-2</v>
      </c>
    </row>
    <row r="197" spans="2:10">
      <c r="B197" s="54" t="s">
        <v>219</v>
      </c>
      <c r="C197" s="55" t="s">
        <v>273</v>
      </c>
      <c r="D197" s="55">
        <v>100</v>
      </c>
      <c r="E197" s="55">
        <v>950</v>
      </c>
      <c r="F197" s="55">
        <v>2</v>
      </c>
      <c r="G197" s="55">
        <v>9.4E-2</v>
      </c>
      <c r="H197" s="55">
        <v>0.8</v>
      </c>
      <c r="I197" s="55">
        <v>3.6999999999999998E-2</v>
      </c>
      <c r="J197" s="56">
        <v>4.1000000000000002E-2</v>
      </c>
    </row>
    <row r="198" spans="2:10">
      <c r="B198" s="54" t="s">
        <v>219</v>
      </c>
      <c r="C198" s="55" t="s">
        <v>274</v>
      </c>
      <c r="D198" s="55">
        <v>125</v>
      </c>
      <c r="E198" s="55">
        <v>1000</v>
      </c>
      <c r="F198" s="55">
        <v>3</v>
      </c>
      <c r="G198" s="55">
        <v>6.3E-2</v>
      </c>
      <c r="H198" s="55">
        <v>0.8</v>
      </c>
      <c r="I198" s="55">
        <v>4.1000000000000002E-2</v>
      </c>
      <c r="J198" s="56">
        <v>4.4999999999999998E-2</v>
      </c>
    </row>
    <row r="199" spans="2:10">
      <c r="B199" s="54" t="s">
        <v>219</v>
      </c>
      <c r="C199" s="55" t="s">
        <v>275</v>
      </c>
      <c r="D199" s="55">
        <v>150</v>
      </c>
      <c r="E199" s="55">
        <v>1150</v>
      </c>
      <c r="F199" s="55">
        <v>5</v>
      </c>
      <c r="G199" s="55">
        <v>3.7999999999999999E-2</v>
      </c>
      <c r="H199" s="55">
        <v>0.8</v>
      </c>
      <c r="I199" s="55">
        <v>4.2999999999999997E-2</v>
      </c>
      <c r="J199" s="56">
        <v>4.9000000000000002E-2</v>
      </c>
    </row>
    <row r="200" spans="2:10">
      <c r="B200" s="54" t="s">
        <v>219</v>
      </c>
      <c r="C200" s="55" t="s">
        <v>276</v>
      </c>
      <c r="D200" s="55">
        <v>175</v>
      </c>
      <c r="E200" s="55">
        <v>840</v>
      </c>
      <c r="F200" s="55">
        <v>1.8999999761581421</v>
      </c>
      <c r="G200" s="55">
        <v>9.9000000000000005E-2</v>
      </c>
      <c r="H200" s="55"/>
      <c r="I200" s="55">
        <v>0.04</v>
      </c>
      <c r="J200" s="56">
        <v>4.3999999999999997E-2</v>
      </c>
    </row>
    <row r="201" spans="2:10">
      <c r="B201" s="54" t="s">
        <v>219</v>
      </c>
      <c r="C201" s="55" t="s">
        <v>277</v>
      </c>
      <c r="D201" s="55">
        <v>150</v>
      </c>
      <c r="E201" s="55">
        <v>840</v>
      </c>
      <c r="F201" s="55">
        <v>2.2999999523162842</v>
      </c>
      <c r="G201" s="55">
        <v>8.3000000000000004E-2</v>
      </c>
      <c r="H201" s="55"/>
      <c r="I201" s="55">
        <v>0.04</v>
      </c>
      <c r="J201" s="56">
        <v>4.3999999999999997E-2</v>
      </c>
    </row>
    <row r="202" spans="2:10">
      <c r="B202" s="54" t="s">
        <v>219</v>
      </c>
      <c r="C202" s="55" t="s">
        <v>278</v>
      </c>
      <c r="D202" s="55">
        <v>200</v>
      </c>
      <c r="E202" s="55">
        <v>840</v>
      </c>
      <c r="F202" s="55">
        <v>1.7000000476837158</v>
      </c>
      <c r="G202" s="55">
        <v>0.11</v>
      </c>
      <c r="H202" s="55"/>
      <c r="I202" s="55">
        <v>0.04</v>
      </c>
      <c r="J202" s="56">
        <v>4.3999999999999997E-2</v>
      </c>
    </row>
    <row r="203" spans="2:10">
      <c r="B203" s="54" t="s">
        <v>219</v>
      </c>
      <c r="C203" s="55" t="s">
        <v>279</v>
      </c>
      <c r="D203" s="55">
        <v>75</v>
      </c>
      <c r="E203" s="55">
        <v>840</v>
      </c>
      <c r="F203" s="55">
        <v>2.2999999523162842</v>
      </c>
      <c r="G203" s="55">
        <v>8.3000000000000004E-2</v>
      </c>
      <c r="H203" s="55"/>
      <c r="I203" s="55">
        <v>3.7999999999999999E-2</v>
      </c>
      <c r="J203" s="56">
        <v>4.2000000000000003E-2</v>
      </c>
    </row>
    <row r="204" spans="2:10">
      <c r="B204" s="54" t="s">
        <v>219</v>
      </c>
      <c r="C204" s="55" t="s">
        <v>280</v>
      </c>
      <c r="D204" s="55">
        <v>75</v>
      </c>
      <c r="E204" s="55">
        <v>840</v>
      </c>
      <c r="F204" s="55">
        <v>1.2000000476837158</v>
      </c>
      <c r="G204" s="55">
        <v>0.16</v>
      </c>
      <c r="H204" s="55"/>
      <c r="I204" s="55">
        <v>3.7999999999999999E-2</v>
      </c>
      <c r="J204" s="56">
        <v>4.2000000000000003E-2</v>
      </c>
    </row>
    <row r="205" spans="2:10">
      <c r="B205" s="54" t="s">
        <v>219</v>
      </c>
      <c r="C205" s="55" t="s">
        <v>281</v>
      </c>
      <c r="D205" s="55">
        <v>100</v>
      </c>
      <c r="E205" s="55">
        <v>840</v>
      </c>
      <c r="F205" s="55">
        <v>2</v>
      </c>
      <c r="G205" s="55">
        <v>9.4E-2</v>
      </c>
      <c r="H205" s="55"/>
      <c r="I205" s="55">
        <v>3.6999999999999998E-2</v>
      </c>
      <c r="J205" s="56">
        <v>4.1000000000000002E-2</v>
      </c>
    </row>
    <row r="206" spans="2:10">
      <c r="B206" s="54" t="s">
        <v>219</v>
      </c>
      <c r="C206" s="55" t="s">
        <v>282</v>
      </c>
      <c r="D206" s="55">
        <v>175</v>
      </c>
      <c r="E206" s="55">
        <v>840</v>
      </c>
      <c r="F206" s="55">
        <v>2.2999999523162842</v>
      </c>
      <c r="G206" s="55">
        <v>8.3000000000000004E-2</v>
      </c>
      <c r="H206" s="55"/>
      <c r="I206" s="55">
        <v>0.04</v>
      </c>
      <c r="J206" s="56">
        <v>4.3999999999999997E-2</v>
      </c>
    </row>
    <row r="207" spans="2:10">
      <c r="B207" s="54" t="s">
        <v>219</v>
      </c>
      <c r="C207" s="55" t="s">
        <v>283</v>
      </c>
      <c r="D207" s="55">
        <v>120</v>
      </c>
      <c r="E207" s="55">
        <v>840</v>
      </c>
      <c r="F207" s="55">
        <v>1.3999999761581421</v>
      </c>
      <c r="G207" s="55">
        <v>0.13</v>
      </c>
      <c r="H207" s="55"/>
      <c r="I207" s="55">
        <v>0.04</v>
      </c>
      <c r="J207" s="56">
        <v>4.3999999999999997E-2</v>
      </c>
    </row>
    <row r="208" spans="2:10">
      <c r="B208" s="54" t="s">
        <v>219</v>
      </c>
      <c r="C208" s="55" t="s">
        <v>284</v>
      </c>
      <c r="D208" s="55">
        <v>175</v>
      </c>
      <c r="E208" s="55">
        <v>840</v>
      </c>
      <c r="F208" s="55">
        <v>1.8999999761581421</v>
      </c>
      <c r="G208" s="55">
        <v>9.8000000000000004E-2</v>
      </c>
      <c r="H208" s="55"/>
      <c r="I208" s="55">
        <v>3.7999999999999999E-2</v>
      </c>
      <c r="J208" s="56">
        <v>4.2000000000000003E-2</v>
      </c>
    </row>
    <row r="209" spans="2:10">
      <c r="B209" s="54" t="s">
        <v>219</v>
      </c>
      <c r="C209" s="55" t="s">
        <v>285</v>
      </c>
      <c r="D209" s="55">
        <v>95</v>
      </c>
      <c r="E209" s="55">
        <v>840</v>
      </c>
      <c r="F209" s="55">
        <v>2.0999999046325684</v>
      </c>
      <c r="G209" s="55">
        <v>9.0999999999999998E-2</v>
      </c>
      <c r="H209" s="55"/>
      <c r="I209" s="55">
        <v>4.4999999999999998E-2</v>
      </c>
      <c r="J209" s="56">
        <v>0.05</v>
      </c>
    </row>
    <row r="210" spans="2:10">
      <c r="B210" s="54" t="s">
        <v>219</v>
      </c>
      <c r="C210" s="55" t="s">
        <v>286</v>
      </c>
      <c r="D210" s="55">
        <v>120</v>
      </c>
      <c r="E210" s="55">
        <v>840</v>
      </c>
      <c r="F210" s="55">
        <v>1.3999999761581421</v>
      </c>
      <c r="G210" s="55">
        <v>0.13</v>
      </c>
      <c r="H210" s="55"/>
      <c r="I210" s="55">
        <v>0.04</v>
      </c>
      <c r="J210" s="56">
        <v>4.3999999999999997E-2</v>
      </c>
    </row>
    <row r="211" spans="2:10">
      <c r="B211" s="54" t="s">
        <v>219</v>
      </c>
      <c r="C211" s="55" t="s">
        <v>287</v>
      </c>
      <c r="D211" s="55">
        <v>200</v>
      </c>
      <c r="E211" s="55">
        <v>840</v>
      </c>
      <c r="F211" s="55">
        <v>1.6000000238418579</v>
      </c>
      <c r="G211" s="55">
        <v>0.12</v>
      </c>
      <c r="H211" s="55"/>
      <c r="I211" s="55">
        <v>0.04</v>
      </c>
      <c r="J211" s="56">
        <v>4.3999999999999997E-2</v>
      </c>
    </row>
    <row r="212" spans="2:10">
      <c r="B212" s="54" t="s">
        <v>219</v>
      </c>
      <c r="C212" s="55" t="s">
        <v>288</v>
      </c>
      <c r="D212" s="55">
        <v>50</v>
      </c>
      <c r="E212" s="55">
        <v>1150</v>
      </c>
      <c r="F212" s="55">
        <v>1.1000000238418579</v>
      </c>
      <c r="G212" s="55">
        <v>0.17</v>
      </c>
      <c r="H212" s="55"/>
      <c r="I212" s="55">
        <v>4.3999999999999997E-2</v>
      </c>
      <c r="J212" s="56">
        <v>4.8000000000000001E-2</v>
      </c>
    </row>
    <row r="213" spans="2:10">
      <c r="B213" s="54" t="s">
        <v>219</v>
      </c>
      <c r="C213" s="55" t="s">
        <v>289</v>
      </c>
      <c r="D213" s="55">
        <v>75</v>
      </c>
      <c r="E213" s="55">
        <v>1150</v>
      </c>
      <c r="F213" s="55">
        <v>1.1000000238418579</v>
      </c>
      <c r="G213" s="55">
        <v>0.17</v>
      </c>
      <c r="H213" s="55"/>
      <c r="I213" s="55">
        <v>0.04</v>
      </c>
      <c r="J213" s="56">
        <v>4.3999999999999997E-2</v>
      </c>
    </row>
    <row r="214" spans="2:10">
      <c r="B214" s="54" t="s">
        <v>219</v>
      </c>
      <c r="C214" s="55" t="s">
        <v>290</v>
      </c>
      <c r="D214" s="55">
        <v>120</v>
      </c>
      <c r="E214" s="55">
        <v>1150</v>
      </c>
      <c r="F214" s="55">
        <v>1.2000000476837158</v>
      </c>
      <c r="G214" s="55">
        <v>0.16</v>
      </c>
      <c r="H214" s="55"/>
      <c r="I214" s="55">
        <v>4.1000000000000002E-2</v>
      </c>
      <c r="J214" s="56">
        <v>4.4999999999999998E-2</v>
      </c>
    </row>
    <row r="215" spans="2:10">
      <c r="B215" s="54" t="s">
        <v>219</v>
      </c>
      <c r="C215" s="55" t="s">
        <v>291</v>
      </c>
      <c r="D215" s="55">
        <v>250</v>
      </c>
      <c r="E215" s="55">
        <v>1500</v>
      </c>
      <c r="F215" s="55">
        <v>3</v>
      </c>
      <c r="G215" s="55">
        <v>6.3E-2</v>
      </c>
      <c r="H215" s="55"/>
      <c r="I215" s="55">
        <v>0.05</v>
      </c>
      <c r="J215" s="56">
        <v>5.8000000000000003E-2</v>
      </c>
    </row>
    <row r="216" spans="2:10">
      <c r="B216" s="54" t="s">
        <v>219</v>
      </c>
      <c r="C216" s="55" t="s">
        <v>292</v>
      </c>
      <c r="D216" s="55">
        <v>500</v>
      </c>
      <c r="E216" s="55">
        <v>1500</v>
      </c>
      <c r="F216" s="55">
        <v>8</v>
      </c>
      <c r="G216" s="55">
        <v>2.4E-2</v>
      </c>
      <c r="H216" s="55"/>
      <c r="I216" s="55">
        <v>0.15</v>
      </c>
      <c r="J216" s="56">
        <v>0.17</v>
      </c>
    </row>
    <row r="217" spans="2:10">
      <c r="B217" s="54" t="s">
        <v>219</v>
      </c>
      <c r="C217" s="55" t="s">
        <v>293</v>
      </c>
      <c r="D217" s="55">
        <v>25</v>
      </c>
      <c r="E217" s="55">
        <v>1500</v>
      </c>
      <c r="F217" s="55">
        <v>3</v>
      </c>
      <c r="G217" s="55">
        <v>6.3E-2</v>
      </c>
      <c r="H217" s="55"/>
      <c r="I217" s="55"/>
      <c r="J217" s="56">
        <v>3.7999999999999999E-2</v>
      </c>
    </row>
    <row r="218" spans="2:10">
      <c r="B218" s="54" t="s">
        <v>219</v>
      </c>
      <c r="C218" s="55" t="s">
        <v>294</v>
      </c>
      <c r="D218" s="55">
        <v>10</v>
      </c>
      <c r="E218" s="55">
        <v>1500</v>
      </c>
      <c r="F218" s="55">
        <v>1.5</v>
      </c>
      <c r="G218" s="55">
        <v>0.13</v>
      </c>
      <c r="H218" s="55"/>
      <c r="I218" s="55"/>
      <c r="J218" s="56">
        <v>0.05</v>
      </c>
    </row>
    <row r="219" spans="2:10">
      <c r="B219" s="54" t="s">
        <v>219</v>
      </c>
      <c r="C219" s="55" t="s">
        <v>295</v>
      </c>
      <c r="D219" s="55">
        <v>112</v>
      </c>
      <c r="E219" s="55">
        <v>840</v>
      </c>
      <c r="F219" s="55">
        <v>3.5499999523162842</v>
      </c>
      <c r="G219" s="55">
        <v>5.2999999999999999E-2</v>
      </c>
      <c r="H219" s="55"/>
      <c r="I219" s="55">
        <v>3.5000000000000003E-2</v>
      </c>
      <c r="J219" s="56">
        <v>3.9E-2</v>
      </c>
    </row>
    <row r="220" spans="2:10">
      <c r="B220" s="54" t="s">
        <v>219</v>
      </c>
      <c r="C220" s="55" t="s">
        <v>296</v>
      </c>
      <c r="D220" s="55">
        <v>100</v>
      </c>
      <c r="E220" s="55">
        <v>840</v>
      </c>
      <c r="F220" s="55">
        <v>2</v>
      </c>
      <c r="G220" s="55">
        <v>9.4E-2</v>
      </c>
      <c r="H220" s="55"/>
      <c r="I220" s="55">
        <v>3.6999999999999998E-2</v>
      </c>
      <c r="J220" s="56">
        <v>4.1000000000000002E-2</v>
      </c>
    </row>
    <row r="221" spans="2:10">
      <c r="B221" s="54" t="s">
        <v>219</v>
      </c>
      <c r="C221" s="55" t="s">
        <v>297</v>
      </c>
      <c r="D221" s="55">
        <v>84</v>
      </c>
      <c r="E221" s="55">
        <v>840</v>
      </c>
      <c r="F221" s="55">
        <v>3.5499999523162842</v>
      </c>
      <c r="G221" s="55">
        <v>5.2999999999999999E-2</v>
      </c>
      <c r="H221" s="55"/>
      <c r="I221" s="55">
        <v>3.5000000000000003E-2</v>
      </c>
      <c r="J221" s="56">
        <v>3.9E-2</v>
      </c>
    </row>
    <row r="222" spans="2:10">
      <c r="B222" s="54" t="s">
        <v>219</v>
      </c>
      <c r="C222" s="55" t="s">
        <v>298</v>
      </c>
      <c r="D222" s="55">
        <v>175</v>
      </c>
      <c r="E222" s="55">
        <v>840</v>
      </c>
      <c r="F222" s="55">
        <v>4</v>
      </c>
      <c r="G222" s="55">
        <v>4.7E-2</v>
      </c>
      <c r="H222" s="55"/>
      <c r="I222" s="55">
        <v>4.1000000000000002E-2</v>
      </c>
      <c r="J222" s="56">
        <v>4.4999999999999998E-2</v>
      </c>
    </row>
    <row r="223" spans="2:10">
      <c r="B223" s="54" t="s">
        <v>219</v>
      </c>
      <c r="C223" s="55" t="s">
        <v>299</v>
      </c>
      <c r="D223" s="55">
        <v>100</v>
      </c>
      <c r="E223" s="55">
        <v>840</v>
      </c>
      <c r="F223" s="55">
        <v>2.9500000476837158</v>
      </c>
      <c r="G223" s="55">
        <v>6.4000000000000001E-2</v>
      </c>
      <c r="H223" s="55"/>
      <c r="I223" s="55">
        <v>4.1000000000000002E-2</v>
      </c>
      <c r="J223" s="56">
        <v>4.4999999999999998E-2</v>
      </c>
    </row>
    <row r="224" spans="2:10">
      <c r="B224" s="54" t="s">
        <v>219</v>
      </c>
      <c r="C224" s="55" t="s">
        <v>300</v>
      </c>
      <c r="D224" s="55">
        <v>31</v>
      </c>
      <c r="E224" s="55">
        <v>840</v>
      </c>
      <c r="F224" s="55">
        <v>1</v>
      </c>
      <c r="G224" s="55">
        <v>0.19</v>
      </c>
      <c r="H224" s="55"/>
      <c r="I224" s="55">
        <v>4.3999999999999997E-2</v>
      </c>
      <c r="J224" s="56">
        <v>0.05</v>
      </c>
    </row>
    <row r="225" spans="2:10">
      <c r="B225" s="54" t="s">
        <v>219</v>
      </c>
      <c r="C225" s="55" t="s">
        <v>301</v>
      </c>
      <c r="D225" s="55">
        <v>100</v>
      </c>
      <c r="E225" s="55">
        <v>840</v>
      </c>
      <c r="F225" s="55">
        <v>3</v>
      </c>
      <c r="G225" s="55">
        <v>6.3E-2</v>
      </c>
      <c r="H225" s="55"/>
      <c r="I225" s="55">
        <v>0.04</v>
      </c>
      <c r="J225" s="56">
        <v>4.3999999999999997E-2</v>
      </c>
    </row>
    <row r="226" spans="2:10">
      <c r="B226" s="54" t="s">
        <v>219</v>
      </c>
      <c r="C226" s="55" t="s">
        <v>302</v>
      </c>
      <c r="D226" s="55">
        <v>100</v>
      </c>
      <c r="E226" s="55">
        <v>840</v>
      </c>
      <c r="F226" s="55">
        <v>2</v>
      </c>
      <c r="G226" s="55">
        <v>9.4E-2</v>
      </c>
      <c r="H226" s="55"/>
      <c r="I226" s="55">
        <v>4.1000000000000002E-2</v>
      </c>
      <c r="J226" s="56">
        <v>4.4999999999999998E-2</v>
      </c>
    </row>
    <row r="227" spans="2:10">
      <c r="B227" s="54" t="s">
        <v>219</v>
      </c>
      <c r="C227" s="55" t="s">
        <v>303</v>
      </c>
      <c r="D227" s="55">
        <v>147</v>
      </c>
      <c r="E227" s="55">
        <v>840</v>
      </c>
      <c r="F227" s="55">
        <v>2.0499999523162842</v>
      </c>
      <c r="G227" s="55">
        <v>9.1999999999999998E-2</v>
      </c>
      <c r="H227" s="55"/>
      <c r="I227" s="55">
        <v>4.2999999999999997E-2</v>
      </c>
      <c r="J227" s="56">
        <v>4.7E-2</v>
      </c>
    </row>
    <row r="228" spans="2:10">
      <c r="B228" s="54" t="s">
        <v>219</v>
      </c>
      <c r="C228" s="55" t="s">
        <v>304</v>
      </c>
      <c r="D228" s="55">
        <v>100</v>
      </c>
      <c r="E228" s="55">
        <v>840</v>
      </c>
      <c r="F228" s="55">
        <v>2</v>
      </c>
      <c r="G228" s="55">
        <v>9.4E-2</v>
      </c>
      <c r="H228" s="55"/>
      <c r="I228" s="55">
        <v>3.5000000000000003E-2</v>
      </c>
      <c r="J228" s="56">
        <v>3.9E-2</v>
      </c>
    </row>
    <row r="229" spans="2:10">
      <c r="B229" s="54" t="s">
        <v>219</v>
      </c>
      <c r="C229" s="55" t="s">
        <v>305</v>
      </c>
      <c r="D229" s="55">
        <v>100</v>
      </c>
      <c r="E229" s="55">
        <v>840</v>
      </c>
      <c r="F229" s="55">
        <v>2</v>
      </c>
      <c r="G229" s="55">
        <v>9.4E-2</v>
      </c>
      <c r="H229" s="55"/>
      <c r="I229" s="55">
        <v>3.9E-2</v>
      </c>
      <c r="J229" s="56">
        <v>4.2999999999999997E-2</v>
      </c>
    </row>
    <row r="230" spans="2:10">
      <c r="B230" s="54" t="s">
        <v>219</v>
      </c>
      <c r="C230" s="55" t="s">
        <v>306</v>
      </c>
      <c r="D230" s="55">
        <v>56</v>
      </c>
      <c r="E230" s="55">
        <v>840</v>
      </c>
      <c r="F230" s="55">
        <v>1</v>
      </c>
      <c r="G230" s="55">
        <v>0.19</v>
      </c>
      <c r="H230" s="55"/>
      <c r="I230" s="55">
        <v>3.9E-2</v>
      </c>
      <c r="J230" s="56">
        <v>4.2999999999999997E-2</v>
      </c>
    </row>
    <row r="231" spans="2:10">
      <c r="B231" s="54" t="s">
        <v>219</v>
      </c>
      <c r="C231" s="55" t="s">
        <v>307</v>
      </c>
      <c r="D231" s="55">
        <v>100</v>
      </c>
      <c r="E231" s="55">
        <v>840</v>
      </c>
      <c r="F231" s="55">
        <v>2</v>
      </c>
      <c r="G231" s="55">
        <v>9.4E-2</v>
      </c>
      <c r="H231" s="55"/>
      <c r="I231" s="55">
        <v>3.6999999999999998E-2</v>
      </c>
      <c r="J231" s="56">
        <v>4.1000000000000002E-2</v>
      </c>
    </row>
    <row r="232" spans="2:10">
      <c r="B232" s="54" t="s">
        <v>219</v>
      </c>
      <c r="C232" s="55" t="s">
        <v>308</v>
      </c>
      <c r="D232" s="55">
        <v>100</v>
      </c>
      <c r="E232" s="55">
        <v>840</v>
      </c>
      <c r="F232" s="55">
        <v>3</v>
      </c>
      <c r="G232" s="55">
        <v>6.3E-2</v>
      </c>
      <c r="H232" s="55"/>
      <c r="I232" s="55">
        <v>4.1000000000000002E-2</v>
      </c>
      <c r="J232" s="56">
        <v>4.4999999999999998E-2</v>
      </c>
    </row>
    <row r="233" spans="2:10">
      <c r="B233" s="54" t="s">
        <v>219</v>
      </c>
      <c r="C233" s="55" t="s">
        <v>309</v>
      </c>
      <c r="D233" s="55">
        <v>138</v>
      </c>
      <c r="E233" s="55">
        <v>840</v>
      </c>
      <c r="F233" s="55">
        <v>4</v>
      </c>
      <c r="G233" s="55">
        <v>4.7E-2</v>
      </c>
      <c r="H233" s="55"/>
      <c r="I233" s="55">
        <v>3.9E-2</v>
      </c>
      <c r="J233" s="56">
        <v>4.2999999999999997E-2</v>
      </c>
    </row>
    <row r="234" spans="2:10">
      <c r="B234" s="54" t="s">
        <v>219</v>
      </c>
      <c r="C234" s="55" t="s">
        <v>310</v>
      </c>
      <c r="D234" s="55">
        <v>67</v>
      </c>
      <c r="E234" s="55">
        <v>840</v>
      </c>
      <c r="F234" s="55">
        <v>2</v>
      </c>
      <c r="G234" s="55">
        <v>9.4E-2</v>
      </c>
      <c r="H234" s="55"/>
      <c r="I234" s="55">
        <v>3.5999999999999997E-2</v>
      </c>
      <c r="J234" s="56">
        <v>0.04</v>
      </c>
    </row>
    <row r="235" spans="2:10">
      <c r="B235" s="54" t="s">
        <v>219</v>
      </c>
      <c r="C235" s="55" t="s">
        <v>311</v>
      </c>
      <c r="D235" s="55">
        <v>115</v>
      </c>
      <c r="E235" s="55">
        <v>840</v>
      </c>
      <c r="F235" s="55">
        <v>2</v>
      </c>
      <c r="G235" s="55">
        <v>9.4E-2</v>
      </c>
      <c r="H235" s="55"/>
      <c r="I235" s="55">
        <v>3.5000000000000003E-2</v>
      </c>
      <c r="J235" s="56">
        <v>3.9E-2</v>
      </c>
    </row>
    <row r="236" spans="2:10">
      <c r="B236" s="54" t="s">
        <v>219</v>
      </c>
      <c r="C236" s="55" t="s">
        <v>312</v>
      </c>
      <c r="D236" s="55">
        <v>84</v>
      </c>
      <c r="E236" s="55">
        <v>840</v>
      </c>
      <c r="F236" s="55">
        <v>3</v>
      </c>
      <c r="G236" s="55">
        <v>6.3E-2</v>
      </c>
      <c r="H236" s="55"/>
      <c r="I236" s="55">
        <v>3.5000000000000003E-2</v>
      </c>
      <c r="J236" s="56">
        <v>3.9E-2</v>
      </c>
    </row>
    <row r="237" spans="2:10">
      <c r="B237" s="54" t="s">
        <v>219</v>
      </c>
      <c r="C237" s="55" t="s">
        <v>313</v>
      </c>
      <c r="D237" s="55">
        <v>100</v>
      </c>
      <c r="E237" s="55">
        <v>840</v>
      </c>
      <c r="F237" s="55">
        <v>1.5</v>
      </c>
      <c r="G237" s="55">
        <v>0.13</v>
      </c>
      <c r="H237" s="55"/>
      <c r="I237" s="55">
        <v>3.5000000000000003E-2</v>
      </c>
      <c r="J237" s="56">
        <v>3.9E-2</v>
      </c>
    </row>
    <row r="238" spans="2:10">
      <c r="B238" s="54" t="s">
        <v>219</v>
      </c>
      <c r="C238" s="55" t="s">
        <v>314</v>
      </c>
      <c r="D238" s="55">
        <v>100</v>
      </c>
      <c r="E238" s="55">
        <v>840</v>
      </c>
      <c r="F238" s="55">
        <v>1.5</v>
      </c>
      <c r="G238" s="55">
        <v>0.13</v>
      </c>
      <c r="H238" s="55"/>
      <c r="I238" s="55">
        <v>0.04</v>
      </c>
      <c r="J238" s="56">
        <v>4.3999999999999997E-2</v>
      </c>
    </row>
    <row r="239" spans="2:10">
      <c r="B239" s="54" t="s">
        <v>219</v>
      </c>
      <c r="C239" s="55" t="s">
        <v>315</v>
      </c>
      <c r="D239" s="55">
        <v>65</v>
      </c>
      <c r="E239" s="55">
        <v>840</v>
      </c>
      <c r="F239" s="55">
        <v>1.3999999761581421</v>
      </c>
      <c r="G239" s="55">
        <v>0.13</v>
      </c>
      <c r="H239" s="55"/>
      <c r="I239" s="55">
        <v>3.5000000000000003E-2</v>
      </c>
      <c r="J239" s="56">
        <v>3.9E-2</v>
      </c>
    </row>
    <row r="240" spans="2:10">
      <c r="B240" s="54" t="s">
        <v>219</v>
      </c>
      <c r="C240" s="55" t="s">
        <v>316</v>
      </c>
      <c r="D240" s="55">
        <v>80</v>
      </c>
      <c r="E240" s="55">
        <v>840</v>
      </c>
      <c r="F240" s="55">
        <v>1.5</v>
      </c>
      <c r="G240" s="55">
        <v>0.13</v>
      </c>
      <c r="H240" s="55"/>
      <c r="I240" s="55">
        <v>3.5000000000000003E-2</v>
      </c>
      <c r="J240" s="56">
        <v>3.9E-2</v>
      </c>
    </row>
    <row r="241" spans="2:10">
      <c r="B241" s="54" t="s">
        <v>219</v>
      </c>
      <c r="C241" s="55" t="s">
        <v>317</v>
      </c>
      <c r="D241" s="55">
        <v>18</v>
      </c>
      <c r="E241" s="55">
        <v>840</v>
      </c>
      <c r="F241" s="55">
        <v>1.2000000476837158</v>
      </c>
      <c r="G241" s="55">
        <v>0.16</v>
      </c>
      <c r="H241" s="55"/>
      <c r="I241" s="55">
        <v>0.04</v>
      </c>
      <c r="J241" s="56">
        <v>4.3999999999999997E-2</v>
      </c>
    </row>
    <row r="242" spans="2:10">
      <c r="B242" s="54" t="s">
        <v>219</v>
      </c>
      <c r="C242" s="55" t="s">
        <v>318</v>
      </c>
      <c r="D242" s="55">
        <v>16</v>
      </c>
      <c r="E242" s="55">
        <v>840</v>
      </c>
      <c r="F242" s="55">
        <v>1.2000000476837158</v>
      </c>
      <c r="G242" s="55">
        <v>0.16</v>
      </c>
      <c r="H242" s="55"/>
      <c r="I242" s="55">
        <v>0.04</v>
      </c>
      <c r="J242" s="56">
        <v>4.3999999999999997E-2</v>
      </c>
    </row>
    <row r="243" spans="2:10">
      <c r="B243" s="54" t="s">
        <v>219</v>
      </c>
      <c r="C243" s="55" t="s">
        <v>319</v>
      </c>
      <c r="D243" s="55">
        <v>12</v>
      </c>
      <c r="E243" s="55">
        <v>840</v>
      </c>
      <c r="F243" s="55">
        <v>1.2000000476837158</v>
      </c>
      <c r="G243" s="55">
        <v>0.16</v>
      </c>
      <c r="H243" s="55"/>
      <c r="I243" s="55">
        <v>0.04</v>
      </c>
      <c r="J243" s="56">
        <v>4.3999999999999997E-2</v>
      </c>
    </row>
    <row r="244" spans="2:10">
      <c r="B244" s="54" t="s">
        <v>219</v>
      </c>
      <c r="C244" s="55" t="s">
        <v>320</v>
      </c>
      <c r="D244" s="55">
        <v>22</v>
      </c>
      <c r="E244" s="55">
        <v>840</v>
      </c>
      <c r="F244" s="55">
        <v>1.2000000476837158</v>
      </c>
      <c r="G244" s="55">
        <v>0.16</v>
      </c>
      <c r="H244" s="55"/>
      <c r="I244" s="55">
        <v>0.04</v>
      </c>
      <c r="J244" s="56">
        <v>4.3999999999999997E-2</v>
      </c>
    </row>
    <row r="245" spans="2:10">
      <c r="B245" s="54" t="s">
        <v>219</v>
      </c>
      <c r="C245" s="55" t="s">
        <v>321</v>
      </c>
      <c r="D245" s="55">
        <v>16</v>
      </c>
      <c r="E245" s="55">
        <v>840</v>
      </c>
      <c r="F245" s="55">
        <v>1.2000000476837158</v>
      </c>
      <c r="G245" s="55">
        <v>0.16</v>
      </c>
      <c r="H245" s="55"/>
      <c r="I245" s="55">
        <v>0.04</v>
      </c>
      <c r="J245" s="56">
        <v>4.3999999999999997E-2</v>
      </c>
    </row>
    <row r="246" spans="2:10">
      <c r="B246" s="54" t="s">
        <v>219</v>
      </c>
      <c r="C246" s="55" t="s">
        <v>322</v>
      </c>
      <c r="D246" s="55">
        <v>16</v>
      </c>
      <c r="E246" s="55">
        <v>840</v>
      </c>
      <c r="F246" s="55">
        <v>1.2000000476837158</v>
      </c>
      <c r="G246" s="55">
        <v>0.16</v>
      </c>
      <c r="H246" s="55"/>
      <c r="I246" s="55">
        <v>0.04</v>
      </c>
      <c r="J246" s="56">
        <v>4.3999999999999997E-2</v>
      </c>
    </row>
    <row r="247" spans="2:10">
      <c r="B247" s="54" t="s">
        <v>219</v>
      </c>
      <c r="C247" s="55" t="s">
        <v>323</v>
      </c>
      <c r="D247" s="55">
        <v>35</v>
      </c>
      <c r="E247" s="55">
        <v>840</v>
      </c>
      <c r="F247" s="55">
        <v>1.2000000476837158</v>
      </c>
      <c r="G247" s="55">
        <v>0.16</v>
      </c>
      <c r="H247" s="55"/>
      <c r="I247" s="55">
        <v>3.5000000000000003E-2</v>
      </c>
      <c r="J247" s="56">
        <v>3.9E-2</v>
      </c>
    </row>
    <row r="248" spans="2:10">
      <c r="B248" s="54" t="s">
        <v>219</v>
      </c>
      <c r="C248" s="55" t="s">
        <v>324</v>
      </c>
      <c r="D248" s="55">
        <v>22</v>
      </c>
      <c r="E248" s="55">
        <v>840</v>
      </c>
      <c r="F248" s="55">
        <v>1.2000000476837158</v>
      </c>
      <c r="G248" s="55">
        <v>0.16</v>
      </c>
      <c r="H248" s="55"/>
      <c r="I248" s="55">
        <v>0.04</v>
      </c>
      <c r="J248" s="56">
        <v>4.3999999999999997E-2</v>
      </c>
    </row>
    <row r="249" spans="2:10">
      <c r="B249" s="54" t="s">
        <v>219</v>
      </c>
      <c r="C249" s="55" t="s">
        <v>325</v>
      </c>
      <c r="D249" s="55">
        <v>35</v>
      </c>
      <c r="E249" s="55">
        <v>840</v>
      </c>
      <c r="F249" s="55">
        <v>1.2000000476837158</v>
      </c>
      <c r="G249" s="55">
        <v>0.16</v>
      </c>
      <c r="H249" s="55"/>
      <c r="I249" s="55">
        <v>3.5000000000000003E-2</v>
      </c>
      <c r="J249" s="56">
        <v>3.9E-2</v>
      </c>
    </row>
    <row r="250" spans="2:10">
      <c r="B250" s="54" t="s">
        <v>219</v>
      </c>
      <c r="C250" s="55" t="s">
        <v>326</v>
      </c>
      <c r="D250" s="55">
        <v>24</v>
      </c>
      <c r="E250" s="55">
        <v>840</v>
      </c>
      <c r="F250" s="55">
        <v>1.2000000476837158</v>
      </c>
      <c r="G250" s="55">
        <v>0.16</v>
      </c>
      <c r="H250" s="55"/>
      <c r="I250" s="55">
        <v>0.04</v>
      </c>
      <c r="J250" s="56">
        <v>4.3999999999999997E-2</v>
      </c>
    </row>
    <row r="251" spans="2:10">
      <c r="B251" s="54" t="s">
        <v>219</v>
      </c>
      <c r="C251" s="55" t="s">
        <v>327</v>
      </c>
      <c r="D251" s="55">
        <v>32</v>
      </c>
      <c r="E251" s="55">
        <v>840</v>
      </c>
      <c r="F251" s="55">
        <v>1.2000000476837158</v>
      </c>
      <c r="G251" s="55">
        <v>0.16</v>
      </c>
      <c r="H251" s="55"/>
      <c r="I251" s="55">
        <v>3.5000000000000003E-2</v>
      </c>
      <c r="J251" s="56">
        <v>3.9E-2</v>
      </c>
    </row>
    <row r="252" spans="2:10">
      <c r="B252" s="54" t="s">
        <v>219</v>
      </c>
      <c r="C252" s="55" t="s">
        <v>328</v>
      </c>
      <c r="D252" s="55">
        <v>15</v>
      </c>
      <c r="E252" s="55">
        <v>940</v>
      </c>
      <c r="F252" s="55">
        <v>2.5</v>
      </c>
      <c r="G252" s="55">
        <v>7.4999999999999997E-2</v>
      </c>
      <c r="H252" s="55">
        <v>1.5</v>
      </c>
      <c r="I252" s="55">
        <v>4.2000000000000003E-2</v>
      </c>
      <c r="J252" s="56">
        <v>4.5999999999999999E-2</v>
      </c>
    </row>
    <row r="253" spans="2:10">
      <c r="B253" s="54" t="s">
        <v>219</v>
      </c>
      <c r="C253" s="55" t="s">
        <v>329</v>
      </c>
      <c r="D253" s="55">
        <v>35</v>
      </c>
      <c r="E253" s="55">
        <v>940</v>
      </c>
      <c r="F253" s="55">
        <v>2.5</v>
      </c>
      <c r="G253" s="55">
        <v>7.4999999999999997E-2</v>
      </c>
      <c r="H253" s="55">
        <v>1.5</v>
      </c>
      <c r="I253" s="55">
        <v>4.5999999999999999E-2</v>
      </c>
      <c r="J253" s="56">
        <v>0.05</v>
      </c>
    </row>
    <row r="254" spans="2:10">
      <c r="B254" s="54" t="s">
        <v>219</v>
      </c>
      <c r="C254" s="55" t="s">
        <v>330</v>
      </c>
      <c r="D254" s="55">
        <v>100</v>
      </c>
      <c r="E254" s="55">
        <v>840</v>
      </c>
      <c r="F254" s="55">
        <v>1</v>
      </c>
      <c r="G254" s="55">
        <v>0.19</v>
      </c>
      <c r="H254" s="55"/>
      <c r="I254" s="55">
        <v>0.04</v>
      </c>
      <c r="J254" s="56">
        <v>4.3999999999999997E-2</v>
      </c>
    </row>
    <row r="255" spans="2:10">
      <c r="B255" s="54" t="s">
        <v>219</v>
      </c>
      <c r="C255" s="55" t="s">
        <v>331</v>
      </c>
      <c r="D255" s="55">
        <v>100</v>
      </c>
      <c r="E255" s="55">
        <v>840</v>
      </c>
      <c r="F255" s="55">
        <v>1</v>
      </c>
      <c r="G255" s="55">
        <v>0.19</v>
      </c>
      <c r="H255" s="55"/>
      <c r="I255" s="55">
        <v>0.04</v>
      </c>
      <c r="J255" s="56">
        <v>4.3999999999999997E-2</v>
      </c>
    </row>
    <row r="256" spans="2:10">
      <c r="B256" s="54" t="s">
        <v>219</v>
      </c>
      <c r="C256" s="55" t="s">
        <v>332</v>
      </c>
      <c r="D256" s="55">
        <v>100</v>
      </c>
      <c r="E256" s="55">
        <v>840</v>
      </c>
      <c r="F256" s="55">
        <v>1</v>
      </c>
      <c r="G256" s="55">
        <v>0.19</v>
      </c>
      <c r="H256" s="55"/>
      <c r="I256" s="55">
        <v>4.2000000000000003E-2</v>
      </c>
      <c r="J256" s="56">
        <v>4.5999999999999999E-2</v>
      </c>
    </row>
    <row r="257" spans="2:10">
      <c r="B257" s="54" t="s">
        <v>219</v>
      </c>
      <c r="C257" s="55" t="s">
        <v>333</v>
      </c>
      <c r="D257" s="55">
        <v>100</v>
      </c>
      <c r="E257" s="55">
        <v>840</v>
      </c>
      <c r="F257" s="55">
        <v>1</v>
      </c>
      <c r="G257" s="55">
        <v>0.19</v>
      </c>
      <c r="H257" s="55"/>
      <c r="I257" s="55">
        <v>0.05</v>
      </c>
      <c r="J257" s="56">
        <v>5.5E-2</v>
      </c>
    </row>
    <row r="258" spans="2:10">
      <c r="B258" s="54" t="s">
        <v>219</v>
      </c>
      <c r="C258" s="55" t="s">
        <v>334</v>
      </c>
      <c r="D258" s="55">
        <v>100</v>
      </c>
      <c r="E258" s="55">
        <v>840</v>
      </c>
      <c r="F258" s="55">
        <v>1</v>
      </c>
      <c r="G258" s="55">
        <v>0.19</v>
      </c>
      <c r="H258" s="55"/>
      <c r="I258" s="55">
        <v>3.5000000000000003E-2</v>
      </c>
      <c r="J258" s="56">
        <v>3.9E-2</v>
      </c>
    </row>
    <row r="259" spans="2:10">
      <c r="B259" s="54" t="s">
        <v>219</v>
      </c>
      <c r="C259" s="55" t="s">
        <v>335</v>
      </c>
      <c r="D259" s="55">
        <v>100</v>
      </c>
      <c r="E259" s="55">
        <v>840</v>
      </c>
      <c r="F259" s="55">
        <v>1</v>
      </c>
      <c r="G259" s="55">
        <v>0.19</v>
      </c>
      <c r="H259" s="55"/>
      <c r="I259" s="55">
        <v>0.04</v>
      </c>
      <c r="J259" s="56">
        <v>4.3999999999999997E-2</v>
      </c>
    </row>
    <row r="260" spans="2:10">
      <c r="B260" s="54" t="s">
        <v>219</v>
      </c>
      <c r="C260" s="55" t="s">
        <v>336</v>
      </c>
      <c r="D260" s="55">
        <v>100</v>
      </c>
      <c r="E260" s="55">
        <v>840</v>
      </c>
      <c r="F260" s="55">
        <v>1</v>
      </c>
      <c r="G260" s="55">
        <v>0.19</v>
      </c>
      <c r="H260" s="55"/>
      <c r="I260" s="55"/>
      <c r="J260" s="56">
        <v>3.9E-2</v>
      </c>
    </row>
    <row r="261" spans="2:10">
      <c r="B261" s="54" t="s">
        <v>219</v>
      </c>
      <c r="C261" s="55" t="s">
        <v>337</v>
      </c>
      <c r="D261" s="55">
        <v>100</v>
      </c>
      <c r="E261" s="55">
        <v>840</v>
      </c>
      <c r="F261" s="55">
        <v>1</v>
      </c>
      <c r="G261" s="55">
        <v>0.19</v>
      </c>
      <c r="H261" s="55"/>
      <c r="I261" s="55">
        <v>0.04</v>
      </c>
      <c r="J261" s="56">
        <v>4.3999999999999997E-2</v>
      </c>
    </row>
    <row r="262" spans="2:10">
      <c r="B262" s="54" t="s">
        <v>219</v>
      </c>
      <c r="C262" s="55" t="s">
        <v>338</v>
      </c>
      <c r="D262" s="55">
        <v>100</v>
      </c>
      <c r="E262" s="55">
        <v>840</v>
      </c>
      <c r="F262" s="55">
        <v>1</v>
      </c>
      <c r="G262" s="55">
        <v>0.19</v>
      </c>
      <c r="H262" s="55"/>
      <c r="I262" s="55">
        <v>0.04</v>
      </c>
      <c r="J262" s="56">
        <v>4.3999999999999997E-2</v>
      </c>
    </row>
    <row r="263" spans="2:10">
      <c r="B263" s="54" t="s">
        <v>219</v>
      </c>
      <c r="C263" s="55" t="s">
        <v>339</v>
      </c>
      <c r="D263" s="55">
        <v>100</v>
      </c>
      <c r="E263" s="55">
        <v>840</v>
      </c>
      <c r="F263" s="55">
        <v>1</v>
      </c>
      <c r="G263" s="55">
        <v>0.19</v>
      </c>
      <c r="H263" s="55"/>
      <c r="I263" s="55">
        <v>3.5000000000000003E-2</v>
      </c>
      <c r="J263" s="56">
        <v>3.9E-2</v>
      </c>
    </row>
    <row r="264" spans="2:10">
      <c r="B264" s="54" t="s">
        <v>219</v>
      </c>
      <c r="C264" s="55" t="s">
        <v>340</v>
      </c>
      <c r="D264" s="55">
        <v>100</v>
      </c>
      <c r="E264" s="55">
        <v>840</v>
      </c>
      <c r="F264" s="55">
        <v>1</v>
      </c>
      <c r="G264" s="55">
        <v>0.19</v>
      </c>
      <c r="H264" s="55"/>
      <c r="I264" s="55">
        <v>3.5000000000000003E-2</v>
      </c>
      <c r="J264" s="56">
        <v>3.9E-2</v>
      </c>
    </row>
    <row r="265" spans="2:10">
      <c r="B265" s="54" t="s">
        <v>219</v>
      </c>
      <c r="C265" s="55" t="s">
        <v>341</v>
      </c>
      <c r="D265" s="55">
        <v>100</v>
      </c>
      <c r="E265" s="55">
        <v>840</v>
      </c>
      <c r="F265" s="55">
        <v>1</v>
      </c>
      <c r="G265" s="55">
        <v>0.19</v>
      </c>
      <c r="H265" s="55"/>
      <c r="I265" s="55">
        <v>0.04</v>
      </c>
      <c r="J265" s="56">
        <v>4.3999999999999997E-2</v>
      </c>
    </row>
    <row r="266" spans="2:10">
      <c r="B266" s="54" t="s">
        <v>219</v>
      </c>
      <c r="C266" s="55" t="s">
        <v>342</v>
      </c>
      <c r="D266" s="55">
        <v>100</v>
      </c>
      <c r="E266" s="55">
        <v>840</v>
      </c>
      <c r="F266" s="55">
        <v>1</v>
      </c>
      <c r="G266" s="55">
        <v>0.19</v>
      </c>
      <c r="H266" s="55"/>
      <c r="I266" s="55">
        <v>3.3000000000000002E-2</v>
      </c>
      <c r="J266" s="56">
        <v>3.5999999999999997E-2</v>
      </c>
    </row>
    <row r="267" spans="2:10">
      <c r="B267" s="54" t="s">
        <v>219</v>
      </c>
      <c r="C267" s="55" t="s">
        <v>343</v>
      </c>
      <c r="D267" s="55">
        <v>100</v>
      </c>
      <c r="E267" s="55">
        <v>840</v>
      </c>
      <c r="F267" s="55">
        <v>1</v>
      </c>
      <c r="G267" s="55">
        <v>0.19</v>
      </c>
      <c r="H267" s="55"/>
      <c r="I267" s="55">
        <v>3.3000000000000002E-2</v>
      </c>
      <c r="J267" s="56">
        <v>3.5999999999999997E-2</v>
      </c>
    </row>
    <row r="268" spans="2:10">
      <c r="B268" s="54" t="s">
        <v>219</v>
      </c>
      <c r="C268" s="55" t="s">
        <v>344</v>
      </c>
      <c r="D268" s="55">
        <v>100</v>
      </c>
      <c r="E268" s="55">
        <v>840</v>
      </c>
      <c r="F268" s="55">
        <v>1</v>
      </c>
      <c r="G268" s="55">
        <v>0.19</v>
      </c>
      <c r="H268" s="55"/>
      <c r="I268" s="55">
        <v>3.3000000000000002E-2</v>
      </c>
      <c r="J268" s="56">
        <v>3.5999999999999997E-2</v>
      </c>
    </row>
    <row r="269" spans="2:10">
      <c r="B269" s="54" t="s">
        <v>219</v>
      </c>
      <c r="C269" s="55" t="s">
        <v>345</v>
      </c>
      <c r="D269" s="55">
        <v>100</v>
      </c>
      <c r="E269" s="55">
        <v>840</v>
      </c>
      <c r="F269" s="55">
        <v>1</v>
      </c>
      <c r="G269" s="55">
        <v>0.19</v>
      </c>
      <c r="H269" s="55"/>
      <c r="I269" s="55">
        <v>0.04</v>
      </c>
      <c r="J269" s="56">
        <v>4.3999999999999997E-2</v>
      </c>
    </row>
    <row r="270" spans="2:10">
      <c r="B270" s="54" t="s">
        <v>219</v>
      </c>
      <c r="C270" s="55" t="s">
        <v>346</v>
      </c>
      <c r="D270" s="55">
        <v>100</v>
      </c>
      <c r="E270" s="55">
        <v>840</v>
      </c>
      <c r="F270" s="55">
        <v>1</v>
      </c>
      <c r="G270" s="55">
        <v>0.19</v>
      </c>
      <c r="H270" s="55"/>
      <c r="I270" s="55">
        <v>0.04</v>
      </c>
      <c r="J270" s="56">
        <v>4.3999999999999997E-2</v>
      </c>
    </row>
    <row r="271" spans="2:10">
      <c r="B271" s="54" t="s">
        <v>219</v>
      </c>
      <c r="C271" s="55" t="s">
        <v>347</v>
      </c>
      <c r="D271" s="55">
        <v>30</v>
      </c>
      <c r="E271" s="55">
        <v>1500</v>
      </c>
      <c r="F271" s="55">
        <v>2</v>
      </c>
      <c r="G271" s="55">
        <v>9.4E-2</v>
      </c>
      <c r="H271" s="55"/>
      <c r="I271" s="55">
        <v>0.05</v>
      </c>
      <c r="J271" s="56">
        <v>5.8000000000000003E-2</v>
      </c>
    </row>
    <row r="272" spans="2:10">
      <c r="B272" s="54" t="s">
        <v>219</v>
      </c>
      <c r="C272" s="55" t="s">
        <v>348</v>
      </c>
      <c r="D272" s="55">
        <v>100</v>
      </c>
      <c r="E272" s="55">
        <v>1500</v>
      </c>
      <c r="F272" s="55">
        <v>6</v>
      </c>
      <c r="G272" s="55">
        <v>3.1E-2</v>
      </c>
      <c r="H272" s="55"/>
      <c r="I272" s="55">
        <v>3.5000000000000003E-2</v>
      </c>
      <c r="J272" s="56">
        <v>0.04</v>
      </c>
    </row>
    <row r="273" spans="2:10">
      <c r="B273" s="54" t="s">
        <v>349</v>
      </c>
      <c r="C273" s="55" t="s">
        <v>350</v>
      </c>
      <c r="D273" s="55">
        <v>800</v>
      </c>
      <c r="E273" s="55">
        <v>960</v>
      </c>
      <c r="F273" s="55">
        <v>7</v>
      </c>
      <c r="G273" s="55">
        <v>2.7E-2</v>
      </c>
      <c r="H273" s="55"/>
      <c r="I273" s="55"/>
      <c r="J273" s="56">
        <v>0.17</v>
      </c>
    </row>
    <row r="274" spans="2:10">
      <c r="B274" s="54" t="s">
        <v>349</v>
      </c>
      <c r="C274" s="55" t="s">
        <v>351</v>
      </c>
      <c r="D274" s="55">
        <v>800</v>
      </c>
      <c r="E274" s="55">
        <v>960</v>
      </c>
      <c r="F274" s="55">
        <v>7</v>
      </c>
      <c r="G274" s="55">
        <v>2.7E-2</v>
      </c>
      <c r="H274" s="55"/>
      <c r="I274" s="55"/>
      <c r="J274" s="56">
        <v>0.17</v>
      </c>
    </row>
    <row r="275" spans="2:10">
      <c r="B275" s="54" t="s">
        <v>349</v>
      </c>
      <c r="C275" s="55" t="s">
        <v>352</v>
      </c>
      <c r="D275" s="55">
        <v>800</v>
      </c>
      <c r="E275" s="55">
        <v>960</v>
      </c>
      <c r="F275" s="55">
        <v>7</v>
      </c>
      <c r="G275" s="55">
        <v>2.7E-2</v>
      </c>
      <c r="H275" s="55"/>
      <c r="I275" s="55"/>
      <c r="J275" s="56">
        <v>0.15</v>
      </c>
    </row>
    <row r="276" spans="2:10">
      <c r="B276" s="54" t="s">
        <v>349</v>
      </c>
      <c r="C276" s="55" t="s">
        <v>353</v>
      </c>
      <c r="D276" s="55">
        <v>800</v>
      </c>
      <c r="E276" s="55">
        <v>960</v>
      </c>
      <c r="F276" s="55">
        <v>7</v>
      </c>
      <c r="G276" s="55">
        <v>2.7E-2</v>
      </c>
      <c r="H276" s="55"/>
      <c r="I276" s="55"/>
      <c r="J276" s="56">
        <v>0.21</v>
      </c>
    </row>
    <row r="277" spans="2:10">
      <c r="B277" s="54" t="s">
        <v>349</v>
      </c>
      <c r="C277" s="55" t="s">
        <v>354</v>
      </c>
      <c r="D277" s="55">
        <v>800</v>
      </c>
      <c r="E277" s="55">
        <v>960</v>
      </c>
      <c r="F277" s="55">
        <v>7</v>
      </c>
      <c r="G277" s="55">
        <v>2.7E-2</v>
      </c>
      <c r="H277" s="55"/>
      <c r="I277" s="55"/>
      <c r="J277" s="56">
        <v>0.19</v>
      </c>
    </row>
    <row r="278" spans="2:10">
      <c r="B278" s="54" t="s">
        <v>349</v>
      </c>
      <c r="C278" s="55" t="s">
        <v>355</v>
      </c>
      <c r="D278" s="55">
        <v>800</v>
      </c>
      <c r="E278" s="55">
        <v>960</v>
      </c>
      <c r="F278" s="55">
        <v>7</v>
      </c>
      <c r="G278" s="55">
        <v>2.7E-2</v>
      </c>
      <c r="H278" s="55"/>
      <c r="I278" s="55"/>
      <c r="J278" s="56">
        <v>0.19</v>
      </c>
    </row>
    <row r="279" spans="2:10">
      <c r="B279" s="54" t="s">
        <v>349</v>
      </c>
      <c r="C279" s="55" t="s">
        <v>356</v>
      </c>
      <c r="D279" s="55">
        <v>1200</v>
      </c>
      <c r="E279" s="55">
        <v>880</v>
      </c>
      <c r="F279" s="55">
        <v>9</v>
      </c>
      <c r="G279" s="55">
        <v>2.1000000000000001E-2</v>
      </c>
      <c r="H279" s="55"/>
      <c r="I279" s="55"/>
      <c r="J279" s="56">
        <v>0.32</v>
      </c>
    </row>
    <row r="280" spans="2:10">
      <c r="B280" s="54" t="s">
        <v>349</v>
      </c>
      <c r="C280" s="55" t="s">
        <v>357</v>
      </c>
      <c r="D280" s="55">
        <v>850</v>
      </c>
      <c r="E280" s="55">
        <v>880</v>
      </c>
      <c r="F280" s="55">
        <v>9</v>
      </c>
      <c r="G280" s="55">
        <v>2.1000000000000001E-2</v>
      </c>
      <c r="H280" s="55"/>
      <c r="I280" s="55"/>
      <c r="J280" s="56">
        <v>0.26</v>
      </c>
    </row>
    <row r="281" spans="2:10">
      <c r="B281" s="54" t="s">
        <v>349</v>
      </c>
      <c r="C281" s="55" t="s">
        <v>358</v>
      </c>
      <c r="D281" s="55">
        <v>500</v>
      </c>
      <c r="E281" s="55">
        <v>880</v>
      </c>
      <c r="F281" s="55">
        <v>6</v>
      </c>
      <c r="G281" s="55">
        <v>3.1E-2</v>
      </c>
      <c r="H281" s="55"/>
      <c r="I281" s="55"/>
      <c r="J281" s="56">
        <v>0.1</v>
      </c>
    </row>
    <row r="282" spans="2:10">
      <c r="B282" s="54" t="s">
        <v>349</v>
      </c>
      <c r="C282" s="55" t="s">
        <v>359</v>
      </c>
      <c r="D282" s="55">
        <v>700</v>
      </c>
      <c r="E282" s="55">
        <v>840</v>
      </c>
      <c r="F282" s="55">
        <v>4.6999998092651367</v>
      </c>
      <c r="G282" s="55">
        <v>0.04</v>
      </c>
      <c r="H282" s="55"/>
      <c r="I282" s="55"/>
      <c r="J282" s="56">
        <v>0.16800000000000001</v>
      </c>
    </row>
    <row r="283" spans="2:10">
      <c r="B283" s="54" t="s">
        <v>349</v>
      </c>
      <c r="C283" s="55" t="s">
        <v>360</v>
      </c>
      <c r="D283" s="55">
        <v>750</v>
      </c>
      <c r="E283" s="55">
        <v>840</v>
      </c>
      <c r="F283" s="55">
        <v>4.6999998092651367</v>
      </c>
      <c r="G283" s="55">
        <v>0.04</v>
      </c>
      <c r="H283" s="55"/>
      <c r="I283" s="55"/>
      <c r="J283" s="56">
        <v>0.20399999999999999</v>
      </c>
    </row>
    <row r="284" spans="2:10">
      <c r="B284" s="54" t="s">
        <v>349</v>
      </c>
      <c r="C284" s="55" t="s">
        <v>361</v>
      </c>
      <c r="D284" s="55">
        <v>720</v>
      </c>
      <c r="E284" s="55">
        <v>840</v>
      </c>
      <c r="F284" s="55">
        <v>4.6999998092651367</v>
      </c>
      <c r="G284" s="55">
        <v>0.04</v>
      </c>
      <c r="H284" s="55"/>
      <c r="I284" s="55"/>
      <c r="J284" s="56">
        <v>0.17499999999999999</v>
      </c>
    </row>
    <row r="285" spans="2:10">
      <c r="B285" s="54" t="s">
        <v>349</v>
      </c>
      <c r="C285" s="55" t="s">
        <v>362</v>
      </c>
      <c r="D285" s="55">
        <v>1100</v>
      </c>
      <c r="E285" s="55">
        <v>960</v>
      </c>
      <c r="F285" s="55">
        <v>7</v>
      </c>
      <c r="G285" s="55">
        <v>2.7E-2</v>
      </c>
      <c r="H285" s="55">
        <v>3.1</v>
      </c>
      <c r="I285" s="55">
        <v>0.47</v>
      </c>
      <c r="J285" s="56">
        <v>0.56000000000000005</v>
      </c>
    </row>
    <row r="286" spans="2:10">
      <c r="B286" s="54" t="s">
        <v>349</v>
      </c>
      <c r="C286" s="55" t="s">
        <v>363</v>
      </c>
      <c r="D286" s="55">
        <v>900</v>
      </c>
      <c r="E286" s="55">
        <v>960</v>
      </c>
      <c r="F286" s="55">
        <v>7</v>
      </c>
      <c r="G286" s="55">
        <v>2.7E-2</v>
      </c>
      <c r="H286" s="55"/>
      <c r="I286" s="55"/>
      <c r="J286" s="56">
        <v>0.21</v>
      </c>
    </row>
    <row r="287" spans="2:10">
      <c r="B287" s="54" t="s">
        <v>349</v>
      </c>
      <c r="C287" s="55" t="s">
        <v>364</v>
      </c>
      <c r="D287" s="55">
        <v>900</v>
      </c>
      <c r="E287" s="55">
        <v>960</v>
      </c>
      <c r="F287" s="55">
        <v>7</v>
      </c>
      <c r="G287" s="55">
        <v>2.7E-2</v>
      </c>
      <c r="H287" s="55"/>
      <c r="I287" s="55"/>
      <c r="J287" s="56">
        <v>0.21</v>
      </c>
    </row>
    <row r="288" spans="2:10">
      <c r="B288" s="54" t="s">
        <v>349</v>
      </c>
      <c r="C288" s="55" t="s">
        <v>365</v>
      </c>
      <c r="D288" s="55">
        <v>1000</v>
      </c>
      <c r="E288" s="55">
        <v>960</v>
      </c>
      <c r="F288" s="55">
        <v>7</v>
      </c>
      <c r="G288" s="55">
        <v>2.7E-2</v>
      </c>
      <c r="H288" s="55"/>
      <c r="I288" s="55"/>
      <c r="J288" s="56">
        <v>0.44</v>
      </c>
    </row>
    <row r="289" spans="2:10">
      <c r="B289" s="54" t="s">
        <v>349</v>
      </c>
      <c r="C289" s="55" t="s">
        <v>366</v>
      </c>
      <c r="D289" s="55">
        <v>1000</v>
      </c>
      <c r="E289" s="55">
        <v>960</v>
      </c>
      <c r="F289" s="55">
        <v>8</v>
      </c>
      <c r="G289" s="55">
        <v>2.4E-2</v>
      </c>
      <c r="H289" s="55"/>
      <c r="I289" s="55"/>
      <c r="J289" s="56">
        <v>0.45</v>
      </c>
    </row>
    <row r="290" spans="2:10">
      <c r="B290" s="54" t="s">
        <v>349</v>
      </c>
      <c r="C290" s="55" t="s">
        <v>367</v>
      </c>
      <c r="D290" s="55">
        <v>900</v>
      </c>
      <c r="E290" s="55">
        <v>960</v>
      </c>
      <c r="F290" s="55">
        <v>8</v>
      </c>
      <c r="G290" s="55">
        <v>2.4E-2</v>
      </c>
      <c r="H290" s="55"/>
      <c r="I290" s="55"/>
      <c r="J290" s="56">
        <v>0.42</v>
      </c>
    </row>
    <row r="291" spans="2:10">
      <c r="B291" s="54" t="s">
        <v>349</v>
      </c>
      <c r="C291" s="55" t="s">
        <v>368</v>
      </c>
      <c r="D291" s="55">
        <v>1800</v>
      </c>
      <c r="E291" s="55">
        <v>960</v>
      </c>
      <c r="F291" s="55">
        <v>9</v>
      </c>
      <c r="G291" s="55">
        <v>2.1000000000000001E-2</v>
      </c>
      <c r="H291" s="55"/>
      <c r="I291" s="55"/>
      <c r="J291" s="56">
        <v>0.73</v>
      </c>
    </row>
    <row r="292" spans="2:10">
      <c r="B292" s="54" t="s">
        <v>349</v>
      </c>
      <c r="C292" s="55" t="s">
        <v>369</v>
      </c>
      <c r="D292" s="55">
        <v>1800</v>
      </c>
      <c r="E292" s="55">
        <v>960</v>
      </c>
      <c r="F292" s="55">
        <v>9</v>
      </c>
      <c r="G292" s="55">
        <v>2.1000000000000001E-2</v>
      </c>
      <c r="H292" s="55"/>
      <c r="I292" s="55"/>
      <c r="J292" s="56">
        <v>0.73</v>
      </c>
    </row>
    <row r="293" spans="2:10">
      <c r="B293" s="54" t="s">
        <v>349</v>
      </c>
      <c r="C293" s="55" t="s">
        <v>370</v>
      </c>
      <c r="D293" s="55">
        <v>800</v>
      </c>
      <c r="E293" s="55">
        <v>1000</v>
      </c>
      <c r="F293" s="55">
        <v>5</v>
      </c>
      <c r="G293" s="55">
        <v>3.6999999999999998E-2</v>
      </c>
      <c r="H293" s="55"/>
      <c r="I293" s="55"/>
      <c r="J293" s="56">
        <v>0.28999999999999998</v>
      </c>
    </row>
    <row r="294" spans="2:10">
      <c r="B294" s="54" t="s">
        <v>349</v>
      </c>
      <c r="C294" s="55" t="s">
        <v>371</v>
      </c>
      <c r="D294" s="55">
        <v>1000</v>
      </c>
      <c r="E294" s="55">
        <v>960</v>
      </c>
      <c r="F294" s="55">
        <v>8</v>
      </c>
      <c r="G294" s="55">
        <v>2.4E-2</v>
      </c>
      <c r="H294" s="55"/>
      <c r="I294" s="55"/>
      <c r="J294" s="56">
        <v>0.44</v>
      </c>
    </row>
    <row r="295" spans="2:10">
      <c r="B295" s="54" t="s">
        <v>349</v>
      </c>
      <c r="C295" s="55" t="s">
        <v>372</v>
      </c>
      <c r="D295" s="55">
        <v>900</v>
      </c>
      <c r="E295" s="55">
        <v>960</v>
      </c>
      <c r="F295" s="55">
        <v>8</v>
      </c>
      <c r="G295" s="55">
        <v>2.4E-2</v>
      </c>
      <c r="H295" s="55"/>
      <c r="I295" s="55"/>
      <c r="J295" s="56">
        <v>0.41</v>
      </c>
    </row>
    <row r="296" spans="2:10">
      <c r="B296" s="54" t="s">
        <v>349</v>
      </c>
      <c r="C296" s="55" t="s">
        <v>373</v>
      </c>
      <c r="D296" s="55">
        <v>1000</v>
      </c>
      <c r="E296" s="55">
        <v>960</v>
      </c>
      <c r="F296" s="55">
        <v>8</v>
      </c>
      <c r="G296" s="55">
        <v>2.4E-2</v>
      </c>
      <c r="H296" s="55"/>
      <c r="I296" s="55"/>
      <c r="J296" s="56">
        <v>0.44</v>
      </c>
    </row>
    <row r="297" spans="2:10">
      <c r="B297" s="54" t="s">
        <v>349</v>
      </c>
      <c r="C297" s="55" t="s">
        <v>374</v>
      </c>
      <c r="D297" s="55">
        <v>900</v>
      </c>
      <c r="E297" s="55">
        <v>960</v>
      </c>
      <c r="F297" s="55">
        <v>8</v>
      </c>
      <c r="G297" s="55">
        <v>2.4E-2</v>
      </c>
      <c r="H297" s="55"/>
      <c r="I297" s="55"/>
      <c r="J297" s="56">
        <v>0.41</v>
      </c>
    </row>
    <row r="298" spans="2:10">
      <c r="B298" s="54" t="s">
        <v>349</v>
      </c>
      <c r="C298" s="55" t="s">
        <v>375</v>
      </c>
      <c r="D298" s="55">
        <v>1200</v>
      </c>
      <c r="E298" s="55">
        <v>960</v>
      </c>
      <c r="F298" s="55">
        <v>8</v>
      </c>
      <c r="G298" s="55">
        <v>2.4E-2</v>
      </c>
      <c r="H298" s="55"/>
      <c r="I298" s="55"/>
      <c r="J298" s="56">
        <v>0.55000000000000004</v>
      </c>
    </row>
    <row r="299" spans="2:10">
      <c r="B299" s="54" t="s">
        <v>349</v>
      </c>
      <c r="C299" s="55" t="s">
        <v>376</v>
      </c>
      <c r="D299" s="55">
        <v>1200</v>
      </c>
      <c r="E299" s="55">
        <v>960</v>
      </c>
      <c r="F299" s="55">
        <v>8</v>
      </c>
      <c r="G299" s="55">
        <v>2.4E-2</v>
      </c>
      <c r="H299" s="55"/>
      <c r="I299" s="55"/>
      <c r="J299" s="56">
        <v>0.49</v>
      </c>
    </row>
    <row r="300" spans="2:10">
      <c r="B300" s="54" t="s">
        <v>349</v>
      </c>
      <c r="C300" s="55" t="s">
        <v>377</v>
      </c>
      <c r="D300" s="55">
        <v>830</v>
      </c>
      <c r="E300" s="55">
        <v>1000</v>
      </c>
      <c r="F300" s="55">
        <v>5</v>
      </c>
      <c r="G300" s="55">
        <v>3.6999999999999998E-2</v>
      </c>
      <c r="H300" s="55"/>
      <c r="I300" s="55"/>
      <c r="J300" s="56">
        <v>0.18</v>
      </c>
    </row>
    <row r="301" spans="2:10">
      <c r="B301" s="54" t="s">
        <v>349</v>
      </c>
      <c r="C301" s="55" t="s">
        <v>378</v>
      </c>
      <c r="D301" s="55">
        <v>1000</v>
      </c>
      <c r="E301" s="55">
        <v>960</v>
      </c>
      <c r="F301" s="55">
        <v>8</v>
      </c>
      <c r="G301" s="55">
        <v>2.4E-2</v>
      </c>
      <c r="H301" s="55"/>
      <c r="I301" s="55"/>
      <c r="J301" s="56">
        <v>0.27</v>
      </c>
    </row>
    <row r="302" spans="2:10">
      <c r="B302" s="54" t="s">
        <v>349</v>
      </c>
      <c r="C302" s="55" t="s">
        <v>379</v>
      </c>
      <c r="D302" s="55">
        <v>800</v>
      </c>
      <c r="E302" s="55">
        <v>960</v>
      </c>
      <c r="F302" s="55">
        <v>8</v>
      </c>
      <c r="G302" s="55">
        <v>2.4E-2</v>
      </c>
      <c r="H302" s="55"/>
      <c r="I302" s="55"/>
      <c r="J302" s="56">
        <v>0.23</v>
      </c>
    </row>
    <row r="303" spans="2:10">
      <c r="B303" s="54" t="s">
        <v>349</v>
      </c>
      <c r="C303" s="55" t="s">
        <v>380</v>
      </c>
      <c r="D303" s="55">
        <v>900</v>
      </c>
      <c r="E303" s="55">
        <v>960</v>
      </c>
      <c r="F303" s="55">
        <v>8</v>
      </c>
      <c r="G303" s="55">
        <v>2.4E-2</v>
      </c>
      <c r="H303" s="55"/>
      <c r="I303" s="55"/>
      <c r="J303" s="56">
        <v>0.25</v>
      </c>
    </row>
    <row r="304" spans="2:10">
      <c r="B304" s="54" t="s">
        <v>349</v>
      </c>
      <c r="C304" s="55" t="s">
        <v>381</v>
      </c>
      <c r="D304" s="55">
        <v>1000</v>
      </c>
      <c r="E304" s="55">
        <v>960</v>
      </c>
      <c r="F304" s="55">
        <v>8</v>
      </c>
      <c r="G304" s="55">
        <v>2.4E-2</v>
      </c>
      <c r="H304" s="55"/>
      <c r="I304" s="55"/>
      <c r="J304" s="56">
        <v>0.28000000000000003</v>
      </c>
    </row>
    <row r="305" spans="2:10">
      <c r="B305" s="54" t="s">
        <v>349</v>
      </c>
      <c r="C305" s="55" t="s">
        <v>382</v>
      </c>
      <c r="D305" s="55">
        <v>900</v>
      </c>
      <c r="E305" s="55">
        <v>960</v>
      </c>
      <c r="F305" s="55">
        <v>8</v>
      </c>
      <c r="G305" s="55">
        <v>2.4E-2</v>
      </c>
      <c r="H305" s="55"/>
      <c r="I305" s="55"/>
      <c r="J305" s="56">
        <v>0.26</v>
      </c>
    </row>
    <row r="306" spans="2:10">
      <c r="B306" s="54" t="s">
        <v>349</v>
      </c>
      <c r="C306" s="55" t="s">
        <v>383</v>
      </c>
      <c r="D306" s="55">
        <v>900</v>
      </c>
      <c r="E306" s="55">
        <v>960</v>
      </c>
      <c r="F306" s="55">
        <v>7</v>
      </c>
      <c r="G306" s="55">
        <v>2.7E-2</v>
      </c>
      <c r="H306" s="55"/>
      <c r="I306" s="55"/>
      <c r="J306" s="56">
        <v>0.14799999999999999</v>
      </c>
    </row>
    <row r="307" spans="2:10">
      <c r="B307" s="54" t="s">
        <v>349</v>
      </c>
      <c r="C307" s="55" t="s">
        <v>384</v>
      </c>
      <c r="D307" s="55">
        <v>900</v>
      </c>
      <c r="E307" s="55">
        <v>960</v>
      </c>
      <c r="F307" s="55">
        <v>7</v>
      </c>
      <c r="G307" s="55">
        <v>2.7E-2</v>
      </c>
      <c r="H307" s="55"/>
      <c r="I307" s="55"/>
      <c r="J307" s="56">
        <v>0.17199999999999999</v>
      </c>
    </row>
    <row r="308" spans="2:10">
      <c r="B308" s="54" t="s">
        <v>349</v>
      </c>
      <c r="C308" s="55" t="s">
        <v>385</v>
      </c>
      <c r="D308" s="55">
        <v>800</v>
      </c>
      <c r="E308" s="55">
        <v>960</v>
      </c>
      <c r="F308" s="55">
        <v>7</v>
      </c>
      <c r="G308" s="55">
        <v>2.7E-2</v>
      </c>
      <c r="H308" s="55"/>
      <c r="I308" s="55"/>
      <c r="J308" s="56">
        <v>0.14899999999999999</v>
      </c>
    </row>
    <row r="309" spans="2:10">
      <c r="B309" s="54" t="s">
        <v>349</v>
      </c>
      <c r="C309" s="55" t="s">
        <v>386</v>
      </c>
      <c r="D309" s="55">
        <v>800</v>
      </c>
      <c r="E309" s="55">
        <v>960</v>
      </c>
      <c r="F309" s="55">
        <v>7</v>
      </c>
      <c r="G309" s="55">
        <v>2.7E-2</v>
      </c>
      <c r="H309" s="55"/>
      <c r="I309" s="55"/>
      <c r="J309" s="56">
        <v>0.17399999999999999</v>
      </c>
    </row>
    <row r="310" spans="2:10">
      <c r="B310" s="54" t="s">
        <v>349</v>
      </c>
      <c r="C310" s="55" t="s">
        <v>387</v>
      </c>
      <c r="D310" s="55">
        <v>1000</v>
      </c>
      <c r="E310" s="55">
        <v>960</v>
      </c>
      <c r="F310" s="55">
        <v>8</v>
      </c>
      <c r="G310" s="55">
        <v>2.4E-2</v>
      </c>
      <c r="H310" s="55"/>
      <c r="I310" s="55"/>
      <c r="J310" s="56">
        <v>0.28000000000000003</v>
      </c>
    </row>
    <row r="311" spans="2:10">
      <c r="B311" s="54" t="s">
        <v>349</v>
      </c>
      <c r="C311" s="55" t="s">
        <v>388</v>
      </c>
      <c r="D311" s="55">
        <v>900</v>
      </c>
      <c r="E311" s="55">
        <v>960</v>
      </c>
      <c r="F311" s="55">
        <v>8</v>
      </c>
      <c r="G311" s="55">
        <v>2.4E-2</v>
      </c>
      <c r="H311" s="55"/>
      <c r="I311" s="55"/>
      <c r="J311" s="56">
        <v>0.26</v>
      </c>
    </row>
    <row r="312" spans="2:10">
      <c r="B312" s="54" t="s">
        <v>349</v>
      </c>
      <c r="C312" s="55" t="s">
        <v>389</v>
      </c>
      <c r="D312" s="55">
        <v>1200</v>
      </c>
      <c r="E312" s="55">
        <v>960</v>
      </c>
      <c r="F312" s="55">
        <v>8</v>
      </c>
      <c r="G312" s="55">
        <v>2.4E-2</v>
      </c>
      <c r="H312" s="55"/>
      <c r="I312" s="55"/>
      <c r="J312" s="56">
        <v>0.56999999999999995</v>
      </c>
    </row>
    <row r="313" spans="2:10">
      <c r="B313" s="54" t="s">
        <v>349</v>
      </c>
      <c r="C313" s="55" t="s">
        <v>390</v>
      </c>
      <c r="D313" s="55">
        <v>1200</v>
      </c>
      <c r="E313" s="55">
        <v>960</v>
      </c>
      <c r="F313" s="55">
        <v>8</v>
      </c>
      <c r="G313" s="55">
        <v>2.4E-2</v>
      </c>
      <c r="H313" s="55"/>
      <c r="I313" s="55"/>
      <c r="J313" s="56">
        <v>0.47</v>
      </c>
    </row>
    <row r="314" spans="2:10">
      <c r="B314" s="54" t="s">
        <v>349</v>
      </c>
      <c r="C314" s="55" t="s">
        <v>391</v>
      </c>
      <c r="D314" s="55">
        <v>750</v>
      </c>
      <c r="E314" s="55">
        <v>1000</v>
      </c>
      <c r="F314" s="55">
        <v>5</v>
      </c>
      <c r="G314" s="55">
        <v>3.6999999999999998E-2</v>
      </c>
      <c r="H314" s="55"/>
      <c r="I314" s="55"/>
      <c r="J314" s="56">
        <v>0.14499999999999999</v>
      </c>
    </row>
    <row r="315" spans="2:10">
      <c r="B315" s="54" t="s">
        <v>349</v>
      </c>
      <c r="C315" s="55" t="s">
        <v>392</v>
      </c>
      <c r="D315" s="55">
        <v>800</v>
      </c>
      <c r="E315" s="55">
        <v>960</v>
      </c>
      <c r="F315" s="55">
        <v>7</v>
      </c>
      <c r="G315" s="55">
        <v>2.7E-2</v>
      </c>
      <c r="H315" s="55"/>
      <c r="I315" s="55"/>
      <c r="J315" s="56">
        <v>0.16</v>
      </c>
    </row>
    <row r="316" spans="2:10">
      <c r="B316" s="54" t="s">
        <v>349</v>
      </c>
      <c r="C316" s="55" t="s">
        <v>393</v>
      </c>
      <c r="D316" s="55">
        <v>800</v>
      </c>
      <c r="E316" s="55">
        <v>960</v>
      </c>
      <c r="F316" s="55">
        <v>7</v>
      </c>
      <c r="G316" s="55">
        <v>2.7E-2</v>
      </c>
      <c r="H316" s="55"/>
      <c r="I316" s="55"/>
      <c r="J316" s="56">
        <v>0.184</v>
      </c>
    </row>
    <row r="317" spans="2:10">
      <c r="B317" s="54" t="s">
        <v>349</v>
      </c>
      <c r="C317" s="55" t="s">
        <v>394</v>
      </c>
      <c r="D317" s="55">
        <v>800</v>
      </c>
      <c r="E317" s="55">
        <v>960</v>
      </c>
      <c r="F317" s="55">
        <v>7</v>
      </c>
      <c r="G317" s="55">
        <v>2.7E-2</v>
      </c>
      <c r="H317" s="55"/>
      <c r="I317" s="55"/>
      <c r="J317" s="56">
        <v>0.15</v>
      </c>
    </row>
    <row r="318" spans="2:10">
      <c r="B318" s="54" t="s">
        <v>349</v>
      </c>
      <c r="C318" s="55" t="s">
        <v>395</v>
      </c>
      <c r="D318" s="55">
        <v>800</v>
      </c>
      <c r="E318" s="55">
        <v>960</v>
      </c>
      <c r="F318" s="55">
        <v>7</v>
      </c>
      <c r="G318" s="55">
        <v>2.7E-2</v>
      </c>
      <c r="H318" s="55"/>
      <c r="I318" s="55"/>
      <c r="J318" s="56">
        <v>0.17399999999999999</v>
      </c>
    </row>
    <row r="319" spans="2:10">
      <c r="B319" s="54" t="s">
        <v>349</v>
      </c>
      <c r="C319" s="55" t="s">
        <v>396</v>
      </c>
      <c r="D319" s="55">
        <v>650</v>
      </c>
      <c r="E319" s="55">
        <v>1000</v>
      </c>
      <c r="F319" s="55">
        <v>5</v>
      </c>
      <c r="G319" s="55">
        <v>3.6999999999999998E-2</v>
      </c>
      <c r="H319" s="55"/>
      <c r="I319" s="55"/>
      <c r="J319" s="56">
        <v>0.13500000000000001</v>
      </c>
    </row>
    <row r="320" spans="2:10">
      <c r="B320" s="54" t="s">
        <v>349</v>
      </c>
      <c r="C320" s="55" t="s">
        <v>397</v>
      </c>
      <c r="D320" s="55">
        <v>650</v>
      </c>
      <c r="E320" s="55">
        <v>1000</v>
      </c>
      <c r="F320" s="55">
        <v>5</v>
      </c>
      <c r="G320" s="55">
        <v>3.6999999999999998E-2</v>
      </c>
      <c r="H320" s="55"/>
      <c r="I320" s="55"/>
      <c r="J320" s="56">
        <v>0.11</v>
      </c>
    </row>
    <row r="321" spans="2:10">
      <c r="B321" s="54" t="s">
        <v>349</v>
      </c>
      <c r="C321" s="55" t="s">
        <v>398</v>
      </c>
      <c r="D321" s="55">
        <v>750</v>
      </c>
      <c r="E321" s="55">
        <v>1000</v>
      </c>
      <c r="F321" s="55">
        <v>5</v>
      </c>
      <c r="G321" s="55">
        <v>3.6999999999999998E-2</v>
      </c>
      <c r="H321" s="55"/>
      <c r="I321" s="55"/>
      <c r="J321" s="56">
        <v>0.14499999999999999</v>
      </c>
    </row>
    <row r="322" spans="2:10">
      <c r="B322" s="54" t="s">
        <v>349</v>
      </c>
      <c r="C322" s="55" t="s">
        <v>399</v>
      </c>
      <c r="D322" s="55">
        <v>800</v>
      </c>
      <c r="E322" s="55">
        <v>960</v>
      </c>
      <c r="F322" s="55">
        <v>7</v>
      </c>
      <c r="G322" s="55">
        <v>2.7E-2</v>
      </c>
      <c r="H322" s="55"/>
      <c r="I322" s="55"/>
      <c r="J322" s="56">
        <v>0.17199999999999999</v>
      </c>
    </row>
    <row r="323" spans="2:10">
      <c r="B323" s="54" t="s">
        <v>349</v>
      </c>
      <c r="C323" s="55" t="s">
        <v>400</v>
      </c>
      <c r="D323" s="55">
        <v>800</v>
      </c>
      <c r="E323" s="55">
        <v>960</v>
      </c>
      <c r="F323" s="55">
        <v>7</v>
      </c>
      <c r="G323" s="55">
        <v>2.7E-2</v>
      </c>
      <c r="H323" s="55"/>
      <c r="I323" s="55"/>
      <c r="J323" s="56">
        <v>0.187</v>
      </c>
    </row>
    <row r="324" spans="2:10">
      <c r="B324" s="54" t="s">
        <v>349</v>
      </c>
      <c r="C324" s="55" t="s">
        <v>401</v>
      </c>
      <c r="D324" s="55">
        <v>800</v>
      </c>
      <c r="E324" s="55">
        <v>960</v>
      </c>
      <c r="F324" s="55">
        <v>7</v>
      </c>
      <c r="G324" s="55">
        <v>2.7E-2</v>
      </c>
      <c r="H324" s="55"/>
      <c r="I324" s="55"/>
      <c r="J324" s="56">
        <v>0.14899999999999999</v>
      </c>
    </row>
    <row r="325" spans="2:10">
      <c r="B325" s="54" t="s">
        <v>349</v>
      </c>
      <c r="C325" s="55" t="s">
        <v>402</v>
      </c>
      <c r="D325" s="55">
        <v>800</v>
      </c>
      <c r="E325" s="55">
        <v>960</v>
      </c>
      <c r="F325" s="55">
        <v>7</v>
      </c>
      <c r="G325" s="55">
        <v>2.7E-2</v>
      </c>
      <c r="H325" s="55"/>
      <c r="I325" s="55"/>
      <c r="J325" s="56">
        <v>0.17399999999999999</v>
      </c>
    </row>
    <row r="326" spans="2:10">
      <c r="B326" s="54" t="s">
        <v>349</v>
      </c>
      <c r="C326" s="55" t="s">
        <v>403</v>
      </c>
      <c r="D326" s="55">
        <v>650</v>
      </c>
      <c r="E326" s="55">
        <v>1000</v>
      </c>
      <c r="F326" s="55">
        <v>5</v>
      </c>
      <c r="G326" s="55">
        <v>3.6999999999999998E-2</v>
      </c>
      <c r="H326" s="55"/>
      <c r="I326" s="55"/>
      <c r="J326" s="56">
        <v>0.13500000000000001</v>
      </c>
    </row>
    <row r="327" spans="2:10">
      <c r="B327" s="54" t="s">
        <v>349</v>
      </c>
      <c r="C327" s="55" t="s">
        <v>404</v>
      </c>
      <c r="D327" s="55">
        <v>650</v>
      </c>
      <c r="E327" s="55">
        <v>1000</v>
      </c>
      <c r="F327" s="55">
        <v>5</v>
      </c>
      <c r="G327" s="55">
        <v>3.6999999999999998E-2</v>
      </c>
      <c r="H327" s="55"/>
      <c r="I327" s="55"/>
      <c r="J327" s="56">
        <v>0.11</v>
      </c>
    </row>
    <row r="328" spans="2:10">
      <c r="B328" s="54" t="s">
        <v>349</v>
      </c>
      <c r="C328" s="55" t="s">
        <v>405</v>
      </c>
      <c r="D328" s="55">
        <v>1400</v>
      </c>
      <c r="E328" s="55">
        <v>960</v>
      </c>
      <c r="F328" s="55">
        <v>8</v>
      </c>
      <c r="G328" s="55">
        <v>2.4E-2</v>
      </c>
      <c r="H328" s="55"/>
      <c r="I328" s="55"/>
      <c r="J328" s="56">
        <v>0.65</v>
      </c>
    </row>
    <row r="329" spans="2:10">
      <c r="B329" s="54" t="s">
        <v>349</v>
      </c>
      <c r="C329" s="55" t="s">
        <v>406</v>
      </c>
      <c r="D329" s="55">
        <v>1900</v>
      </c>
      <c r="E329" s="55">
        <v>900</v>
      </c>
      <c r="F329" s="55">
        <v>9</v>
      </c>
      <c r="G329" s="55">
        <v>2.1000000000000001E-2</v>
      </c>
      <c r="H329" s="55"/>
      <c r="I329" s="55"/>
      <c r="J329" s="56">
        <v>0.79</v>
      </c>
    </row>
    <row r="330" spans="2:10">
      <c r="B330" s="54" t="s">
        <v>349</v>
      </c>
      <c r="C330" s="55" t="s">
        <v>407</v>
      </c>
      <c r="D330" s="55">
        <v>1900</v>
      </c>
      <c r="E330" s="55">
        <v>900</v>
      </c>
      <c r="F330" s="55">
        <v>9</v>
      </c>
      <c r="G330" s="55">
        <v>2.1000000000000001E-2</v>
      </c>
      <c r="H330" s="55"/>
      <c r="I330" s="55"/>
      <c r="J330" s="56">
        <v>0.8</v>
      </c>
    </row>
    <row r="331" spans="2:10">
      <c r="B331" s="54" t="s">
        <v>349</v>
      </c>
      <c r="C331" s="55" t="s">
        <v>408</v>
      </c>
      <c r="D331" s="55">
        <v>1900</v>
      </c>
      <c r="E331" s="55">
        <v>900</v>
      </c>
      <c r="F331" s="55">
        <v>9</v>
      </c>
      <c r="G331" s="55">
        <v>2.1000000000000001E-2</v>
      </c>
      <c r="H331" s="55"/>
      <c r="I331" s="55"/>
      <c r="J331" s="56">
        <v>0.78</v>
      </c>
    </row>
    <row r="332" spans="2:10">
      <c r="B332" s="54" t="s">
        <v>349</v>
      </c>
      <c r="C332" s="55" t="s">
        <v>409</v>
      </c>
      <c r="D332" s="55">
        <v>1300</v>
      </c>
      <c r="E332" s="55">
        <v>960</v>
      </c>
      <c r="F332" s="55">
        <v>8</v>
      </c>
      <c r="G332" s="55">
        <v>2.4E-2</v>
      </c>
      <c r="H332" s="55"/>
      <c r="I332" s="55"/>
      <c r="J332" s="56">
        <v>0.56000000000000005</v>
      </c>
    </row>
    <row r="333" spans="2:10">
      <c r="B333" s="54" t="s">
        <v>349</v>
      </c>
      <c r="C333" s="55" t="s">
        <v>410</v>
      </c>
      <c r="D333" s="55">
        <v>1300</v>
      </c>
      <c r="E333" s="55">
        <v>960</v>
      </c>
      <c r="F333" s="55">
        <v>8</v>
      </c>
      <c r="G333" s="55">
        <v>2.4E-2</v>
      </c>
      <c r="H333" s="55"/>
      <c r="I333" s="55"/>
      <c r="J333" s="56">
        <v>0.59</v>
      </c>
    </row>
    <row r="334" spans="2:10">
      <c r="B334" s="54" t="s">
        <v>349</v>
      </c>
      <c r="C334" s="55" t="s">
        <v>411</v>
      </c>
      <c r="D334" s="55">
        <v>710</v>
      </c>
      <c r="E334" s="55">
        <v>960</v>
      </c>
      <c r="F334" s="55">
        <v>18</v>
      </c>
      <c r="G334" s="55">
        <v>0.01</v>
      </c>
      <c r="H334" s="55"/>
      <c r="I334" s="55"/>
      <c r="J334" s="56">
        <v>0.6</v>
      </c>
    </row>
    <row r="335" spans="2:10">
      <c r="B335" s="54" t="s">
        <v>349</v>
      </c>
      <c r="C335" s="55" t="s">
        <v>412</v>
      </c>
      <c r="D335" s="55">
        <v>1000</v>
      </c>
      <c r="E335" s="55">
        <v>960</v>
      </c>
      <c r="F335" s="55">
        <v>8</v>
      </c>
      <c r="G335" s="55">
        <v>2.4E-2</v>
      </c>
      <c r="H335" s="55"/>
      <c r="I335" s="55"/>
      <c r="J335" s="56">
        <v>0.52</v>
      </c>
    </row>
    <row r="336" spans="2:10">
      <c r="B336" s="54" t="s">
        <v>349</v>
      </c>
      <c r="C336" s="55" t="s">
        <v>413</v>
      </c>
      <c r="D336" s="55">
        <v>1000</v>
      </c>
      <c r="E336" s="55">
        <v>960</v>
      </c>
      <c r="F336" s="55">
        <v>8</v>
      </c>
      <c r="G336" s="55">
        <v>2.4E-2</v>
      </c>
      <c r="H336" s="55"/>
      <c r="I336" s="55"/>
      <c r="J336" s="56">
        <v>0.57999999999999996</v>
      </c>
    </row>
    <row r="337" spans="2:10">
      <c r="B337" s="54" t="s">
        <v>349</v>
      </c>
      <c r="C337" s="55" t="s">
        <v>414</v>
      </c>
      <c r="D337" s="55">
        <v>1050</v>
      </c>
      <c r="E337" s="55">
        <v>960</v>
      </c>
      <c r="F337" s="55">
        <v>8</v>
      </c>
      <c r="G337" s="55">
        <v>2.4E-2</v>
      </c>
      <c r="H337" s="55"/>
      <c r="I337" s="55"/>
      <c r="J337" s="56">
        <v>0.54300000000000004</v>
      </c>
    </row>
    <row r="338" spans="2:10">
      <c r="B338" s="54" t="s">
        <v>349</v>
      </c>
      <c r="C338" s="55" t="s">
        <v>415</v>
      </c>
      <c r="D338" s="55">
        <v>1000</v>
      </c>
      <c r="E338" s="55">
        <v>960</v>
      </c>
      <c r="F338" s="55">
        <v>8</v>
      </c>
      <c r="G338" s="55">
        <v>2.4E-2</v>
      </c>
      <c r="H338" s="55"/>
      <c r="I338" s="55"/>
      <c r="J338" s="56">
        <v>0.48</v>
      </c>
    </row>
    <row r="339" spans="2:10">
      <c r="B339" s="54" t="s">
        <v>349</v>
      </c>
      <c r="C339" s="55" t="s">
        <v>416</v>
      </c>
      <c r="D339" s="55">
        <v>600</v>
      </c>
      <c r="E339" s="55">
        <v>1000</v>
      </c>
      <c r="F339" s="55">
        <v>5</v>
      </c>
      <c r="G339" s="55">
        <v>3.6999999999999998E-2</v>
      </c>
      <c r="H339" s="55"/>
      <c r="I339" s="55"/>
      <c r="J339" s="56">
        <v>0.105</v>
      </c>
    </row>
    <row r="340" spans="2:10">
      <c r="B340" s="54" t="s">
        <v>349</v>
      </c>
      <c r="C340" s="55" t="s">
        <v>417</v>
      </c>
      <c r="D340" s="55">
        <v>900</v>
      </c>
      <c r="E340" s="55">
        <v>960</v>
      </c>
      <c r="F340" s="55">
        <v>8</v>
      </c>
      <c r="G340" s="55">
        <v>2.4E-2</v>
      </c>
      <c r="H340" s="55"/>
      <c r="I340" s="55"/>
      <c r="J340" s="56">
        <v>0.26</v>
      </c>
    </row>
    <row r="341" spans="2:10">
      <c r="B341" s="54" t="s">
        <v>349</v>
      </c>
      <c r="C341" s="55" t="s">
        <v>418</v>
      </c>
      <c r="D341" s="55">
        <v>600</v>
      </c>
      <c r="E341" s="55">
        <v>1000</v>
      </c>
      <c r="F341" s="55">
        <v>5</v>
      </c>
      <c r="G341" s="55">
        <v>3.6999999999999998E-2</v>
      </c>
      <c r="H341" s="55"/>
      <c r="I341" s="55"/>
      <c r="J341" s="56">
        <v>0.105</v>
      </c>
    </row>
    <row r="342" spans="2:10">
      <c r="B342" s="54" t="s">
        <v>349</v>
      </c>
      <c r="C342" s="55" t="s">
        <v>419</v>
      </c>
      <c r="D342" s="55">
        <v>800</v>
      </c>
      <c r="E342" s="55">
        <v>960</v>
      </c>
      <c r="F342" s="55">
        <v>7</v>
      </c>
      <c r="G342" s="55">
        <v>2.7E-2</v>
      </c>
      <c r="H342" s="55"/>
      <c r="I342" s="55"/>
      <c r="J342" s="56">
        <v>0.14199999999999999</v>
      </c>
    </row>
    <row r="343" spans="2:10">
      <c r="B343" s="54" t="s">
        <v>349</v>
      </c>
      <c r="C343" s="55" t="s">
        <v>420</v>
      </c>
      <c r="D343" s="55">
        <v>600</v>
      </c>
      <c r="E343" s="55">
        <v>1000</v>
      </c>
      <c r="F343" s="55">
        <v>5</v>
      </c>
      <c r="G343" s="55">
        <v>3.6999999999999998E-2</v>
      </c>
      <c r="H343" s="55"/>
      <c r="I343" s="55"/>
      <c r="J343" s="56">
        <v>0.12</v>
      </c>
    </row>
    <row r="344" spans="2:10">
      <c r="B344" s="54" t="s">
        <v>349</v>
      </c>
      <c r="C344" s="55" t="s">
        <v>421</v>
      </c>
      <c r="D344" s="55">
        <v>600</v>
      </c>
      <c r="E344" s="55">
        <v>1000</v>
      </c>
      <c r="F344" s="55">
        <v>5</v>
      </c>
      <c r="G344" s="55">
        <v>3.6999999999999998E-2</v>
      </c>
      <c r="H344" s="55"/>
      <c r="I344" s="55"/>
      <c r="J344" s="56">
        <v>0.105</v>
      </c>
    </row>
    <row r="345" spans="2:10">
      <c r="B345" s="54" t="s">
        <v>349</v>
      </c>
      <c r="C345" s="55" t="s">
        <v>422</v>
      </c>
      <c r="D345" s="55">
        <v>800</v>
      </c>
      <c r="E345" s="55">
        <v>960</v>
      </c>
      <c r="F345" s="55">
        <v>7</v>
      </c>
      <c r="G345" s="55">
        <v>2.7E-2</v>
      </c>
      <c r="H345" s="55"/>
      <c r="I345" s="55"/>
      <c r="J345" s="56">
        <v>0.14399999999999999</v>
      </c>
    </row>
    <row r="346" spans="2:10">
      <c r="B346" s="54" t="s">
        <v>349</v>
      </c>
      <c r="C346" s="55" t="s">
        <v>423</v>
      </c>
      <c r="D346" s="55">
        <v>600</v>
      </c>
      <c r="E346" s="55">
        <v>1000</v>
      </c>
      <c r="F346" s="55">
        <v>5</v>
      </c>
      <c r="G346" s="55">
        <v>3.6999999999999998E-2</v>
      </c>
      <c r="H346" s="55"/>
      <c r="I346" s="55"/>
      <c r="J346" s="56">
        <v>0.105</v>
      </c>
    </row>
    <row r="347" spans="2:10">
      <c r="B347" s="54" t="s">
        <v>349</v>
      </c>
      <c r="C347" s="55" t="s">
        <v>424</v>
      </c>
      <c r="D347" s="55">
        <v>800</v>
      </c>
      <c r="E347" s="55">
        <v>960</v>
      </c>
      <c r="F347" s="55">
        <v>7</v>
      </c>
      <c r="G347" s="55">
        <v>2.7E-2</v>
      </c>
      <c r="H347" s="55"/>
      <c r="I347" s="55"/>
      <c r="J347" s="56">
        <v>0.14299999999999999</v>
      </c>
    </row>
    <row r="348" spans="2:10">
      <c r="B348" s="54" t="s">
        <v>349</v>
      </c>
      <c r="C348" s="55" t="s">
        <v>425</v>
      </c>
      <c r="D348" s="55">
        <v>600</v>
      </c>
      <c r="E348" s="55">
        <v>1000</v>
      </c>
      <c r="F348" s="55">
        <v>5</v>
      </c>
      <c r="G348" s="55">
        <v>3.6999999999999998E-2</v>
      </c>
      <c r="H348" s="55"/>
      <c r="I348" s="55"/>
      <c r="J348" s="56">
        <v>0.12</v>
      </c>
    </row>
    <row r="349" spans="2:10">
      <c r="B349" s="54" t="s">
        <v>349</v>
      </c>
      <c r="C349" s="55" t="s">
        <v>426</v>
      </c>
      <c r="D349" s="55">
        <v>600</v>
      </c>
      <c r="E349" s="55">
        <v>1000</v>
      </c>
      <c r="F349" s="55">
        <v>5</v>
      </c>
      <c r="G349" s="55">
        <v>3.6999999999999998E-2</v>
      </c>
      <c r="H349" s="55"/>
      <c r="I349" s="55"/>
      <c r="J349" s="56">
        <v>0.105</v>
      </c>
    </row>
    <row r="350" spans="2:10">
      <c r="B350" s="54" t="s">
        <v>349</v>
      </c>
      <c r="C350" s="55" t="s">
        <v>427</v>
      </c>
      <c r="D350" s="55">
        <v>800</v>
      </c>
      <c r="E350" s="55">
        <v>960</v>
      </c>
      <c r="F350" s="55">
        <v>7</v>
      </c>
      <c r="G350" s="55">
        <v>2.7E-2</v>
      </c>
      <c r="H350" s="55"/>
      <c r="I350" s="55"/>
      <c r="J350" s="56">
        <v>0.14399999999999999</v>
      </c>
    </row>
    <row r="351" spans="2:10">
      <c r="B351" s="54" t="s">
        <v>349</v>
      </c>
      <c r="C351" s="55" t="s">
        <v>428</v>
      </c>
      <c r="D351" s="55">
        <v>600</v>
      </c>
      <c r="E351" s="55">
        <v>1000</v>
      </c>
      <c r="F351" s="55">
        <v>5</v>
      </c>
      <c r="G351" s="55">
        <v>3.6999999999999998E-2</v>
      </c>
      <c r="H351" s="55"/>
      <c r="I351" s="55"/>
      <c r="J351" s="56">
        <v>0.12</v>
      </c>
    </row>
    <row r="352" spans="2:10">
      <c r="B352" s="54" t="s">
        <v>349</v>
      </c>
      <c r="C352" s="55" t="s">
        <v>429</v>
      </c>
      <c r="D352" s="55">
        <v>600</v>
      </c>
      <c r="E352" s="55">
        <v>1000</v>
      </c>
      <c r="F352" s="55">
        <v>5</v>
      </c>
      <c r="G352" s="55">
        <v>3.6999999999999998E-2</v>
      </c>
      <c r="H352" s="55"/>
      <c r="I352" s="55"/>
      <c r="J352" s="56">
        <v>0.105</v>
      </c>
    </row>
    <row r="353" spans="2:10">
      <c r="B353" s="54" t="s">
        <v>349</v>
      </c>
      <c r="C353" s="55" t="s">
        <v>430</v>
      </c>
      <c r="D353" s="55">
        <v>800</v>
      </c>
      <c r="E353" s="55">
        <v>960</v>
      </c>
      <c r="F353" s="55">
        <v>7</v>
      </c>
      <c r="G353" s="55">
        <v>2.7E-2</v>
      </c>
      <c r="H353" s="55"/>
      <c r="I353" s="55"/>
      <c r="J353" s="56">
        <v>0.14399999999999999</v>
      </c>
    </row>
    <row r="354" spans="2:10">
      <c r="B354" s="54" t="s">
        <v>349</v>
      </c>
      <c r="C354" s="55" t="s">
        <v>431</v>
      </c>
      <c r="D354" s="55">
        <v>600</v>
      </c>
      <c r="E354" s="55">
        <v>1000</v>
      </c>
      <c r="F354" s="55">
        <v>5</v>
      </c>
      <c r="G354" s="55">
        <v>3.6999999999999998E-2</v>
      </c>
      <c r="H354" s="55"/>
      <c r="I354" s="55"/>
      <c r="J354" s="56">
        <v>0.12</v>
      </c>
    </row>
    <row r="355" spans="2:10">
      <c r="B355" s="54" t="s">
        <v>349</v>
      </c>
      <c r="C355" s="55" t="s">
        <v>432</v>
      </c>
      <c r="D355" s="55">
        <v>600</v>
      </c>
      <c r="E355" s="55">
        <v>1000</v>
      </c>
      <c r="F355" s="55">
        <v>5</v>
      </c>
      <c r="G355" s="55">
        <v>3.6999999999999998E-2</v>
      </c>
      <c r="H355" s="55"/>
      <c r="I355" s="55"/>
      <c r="J355" s="56">
        <v>0.105</v>
      </c>
    </row>
    <row r="356" spans="2:10">
      <c r="B356" s="54" t="s">
        <v>349</v>
      </c>
      <c r="C356" s="55" t="s">
        <v>433</v>
      </c>
      <c r="D356" s="55">
        <v>1250</v>
      </c>
      <c r="E356" s="55">
        <v>960</v>
      </c>
      <c r="F356" s="55">
        <v>8</v>
      </c>
      <c r="G356" s="55">
        <v>2.4E-2</v>
      </c>
      <c r="H356" s="55"/>
      <c r="I356" s="55"/>
      <c r="J356" s="56">
        <v>0.54</v>
      </c>
    </row>
    <row r="357" spans="2:10">
      <c r="B357" s="54" t="s">
        <v>349</v>
      </c>
      <c r="C357" s="55" t="s">
        <v>434</v>
      </c>
      <c r="D357" s="55">
        <v>1800</v>
      </c>
      <c r="E357" s="55">
        <v>960</v>
      </c>
      <c r="F357" s="55">
        <v>15</v>
      </c>
      <c r="G357" s="55">
        <v>1.2999999999999999E-2</v>
      </c>
      <c r="H357" s="55"/>
      <c r="I357" s="55"/>
      <c r="J357" s="56">
        <v>0.86</v>
      </c>
    </row>
    <row r="358" spans="2:10">
      <c r="B358" s="54" t="s">
        <v>349</v>
      </c>
      <c r="C358" s="55" t="s">
        <v>435</v>
      </c>
      <c r="D358" s="55">
        <v>1800</v>
      </c>
      <c r="E358" s="55">
        <v>960</v>
      </c>
      <c r="F358" s="55">
        <v>15</v>
      </c>
      <c r="G358" s="55">
        <v>1.2999999999999999E-2</v>
      </c>
      <c r="H358" s="55"/>
      <c r="I358" s="55"/>
      <c r="J358" s="56">
        <v>0.86</v>
      </c>
    </row>
    <row r="359" spans="2:10">
      <c r="B359" s="54" t="s">
        <v>349</v>
      </c>
      <c r="C359" s="55" t="s">
        <v>436</v>
      </c>
      <c r="D359" s="55">
        <v>1800</v>
      </c>
      <c r="E359" s="55">
        <v>960</v>
      </c>
      <c r="F359" s="55">
        <v>15</v>
      </c>
      <c r="G359" s="55">
        <v>1.2999999999999999E-2</v>
      </c>
      <c r="H359" s="55"/>
      <c r="I359" s="55"/>
      <c r="J359" s="56">
        <v>0.86</v>
      </c>
    </row>
    <row r="360" spans="2:10">
      <c r="B360" s="54" t="s">
        <v>349</v>
      </c>
      <c r="C360" s="55" t="s">
        <v>437</v>
      </c>
      <c r="D360" s="55">
        <v>1000</v>
      </c>
      <c r="E360" s="55">
        <v>960</v>
      </c>
      <c r="F360" s="55">
        <v>7</v>
      </c>
      <c r="G360" s="55">
        <v>2.7E-2</v>
      </c>
      <c r="H360" s="55"/>
      <c r="I360" s="55"/>
      <c r="J360" s="56">
        <v>0.28000000000000003</v>
      </c>
    </row>
    <row r="361" spans="2:10">
      <c r="B361" s="54" t="s">
        <v>349</v>
      </c>
      <c r="C361" s="55" t="s">
        <v>438</v>
      </c>
      <c r="D361" s="55">
        <v>1000</v>
      </c>
      <c r="E361" s="55">
        <v>960</v>
      </c>
      <c r="F361" s="55">
        <v>7</v>
      </c>
      <c r="G361" s="55">
        <v>2.7E-2</v>
      </c>
      <c r="H361" s="55"/>
      <c r="I361" s="55"/>
      <c r="J361" s="56">
        <v>0.32</v>
      </c>
    </row>
    <row r="362" spans="2:10">
      <c r="B362" s="54" t="s">
        <v>349</v>
      </c>
      <c r="C362" s="55" t="s">
        <v>439</v>
      </c>
      <c r="D362" s="55">
        <v>900</v>
      </c>
      <c r="E362" s="55">
        <v>960</v>
      </c>
      <c r="F362" s="55">
        <v>7</v>
      </c>
      <c r="G362" s="55">
        <v>2.7E-2</v>
      </c>
      <c r="H362" s="55"/>
      <c r="I362" s="55"/>
      <c r="J362" s="56">
        <v>0.31</v>
      </c>
    </row>
    <row r="363" spans="2:10">
      <c r="B363" s="54" t="s">
        <v>349</v>
      </c>
      <c r="C363" s="55" t="s">
        <v>440</v>
      </c>
      <c r="D363" s="55">
        <v>900</v>
      </c>
      <c r="E363" s="55">
        <v>960</v>
      </c>
      <c r="F363" s="55">
        <v>7</v>
      </c>
      <c r="G363" s="55">
        <v>2.7E-2</v>
      </c>
      <c r="H363" s="55"/>
      <c r="I363" s="55"/>
      <c r="J363" s="56">
        <v>0.28999999999999998</v>
      </c>
    </row>
    <row r="364" spans="2:10">
      <c r="B364" s="54" t="s">
        <v>349</v>
      </c>
      <c r="C364" s="55" t="s">
        <v>441</v>
      </c>
      <c r="D364" s="55">
        <v>720</v>
      </c>
      <c r="E364" s="55">
        <v>960</v>
      </c>
      <c r="F364" s="55">
        <v>7</v>
      </c>
      <c r="G364" s="55">
        <v>2.7E-2</v>
      </c>
      <c r="H364" s="55"/>
      <c r="I364" s="55">
        <v>0.17</v>
      </c>
      <c r="J364" s="56">
        <v>0.18</v>
      </c>
    </row>
    <row r="365" spans="2:10">
      <c r="B365" s="54" t="s">
        <v>349</v>
      </c>
      <c r="C365" s="55" t="s">
        <v>442</v>
      </c>
      <c r="D365" s="55">
        <v>670</v>
      </c>
      <c r="E365" s="55">
        <v>960</v>
      </c>
      <c r="F365" s="55">
        <v>7</v>
      </c>
      <c r="G365" s="55">
        <v>2.7E-2</v>
      </c>
      <c r="H365" s="55"/>
      <c r="I365" s="55">
        <v>0.13</v>
      </c>
      <c r="J365" s="56">
        <v>0.14000000000000001</v>
      </c>
    </row>
    <row r="366" spans="2:10">
      <c r="B366" s="54" t="s">
        <v>349</v>
      </c>
      <c r="C366" s="55" t="s">
        <v>443</v>
      </c>
      <c r="D366" s="55">
        <v>790</v>
      </c>
      <c r="E366" s="55">
        <v>960</v>
      </c>
      <c r="F366" s="55">
        <v>7</v>
      </c>
      <c r="G366" s="55">
        <v>2.7E-2</v>
      </c>
      <c r="H366" s="55"/>
      <c r="I366" s="55">
        <v>0.17</v>
      </c>
      <c r="J366" s="56">
        <v>0.18</v>
      </c>
    </row>
    <row r="367" spans="2:10">
      <c r="B367" s="54" t="s">
        <v>349</v>
      </c>
      <c r="C367" s="55" t="s">
        <v>444</v>
      </c>
      <c r="D367" s="55">
        <v>590</v>
      </c>
      <c r="E367" s="55">
        <v>960</v>
      </c>
      <c r="F367" s="55">
        <v>7</v>
      </c>
      <c r="G367" s="55">
        <v>2.7E-2</v>
      </c>
      <c r="H367" s="55"/>
      <c r="I367" s="55">
        <v>0.13</v>
      </c>
      <c r="J367" s="56">
        <v>0.15</v>
      </c>
    </row>
    <row r="368" spans="2:10">
      <c r="B368" s="54" t="s">
        <v>349</v>
      </c>
      <c r="C368" s="55" t="s">
        <v>445</v>
      </c>
      <c r="D368" s="55">
        <v>840</v>
      </c>
      <c r="E368" s="55">
        <v>960</v>
      </c>
      <c r="F368" s="55">
        <v>7</v>
      </c>
      <c r="G368" s="55">
        <v>2.7E-2</v>
      </c>
      <c r="H368" s="55"/>
      <c r="I368" s="55">
        <v>0.17</v>
      </c>
      <c r="J368" s="56">
        <v>0.18</v>
      </c>
    </row>
    <row r="369" spans="2:10">
      <c r="B369" s="54" t="s">
        <v>349</v>
      </c>
      <c r="C369" s="55" t="s">
        <v>446</v>
      </c>
      <c r="D369" s="55">
        <v>660</v>
      </c>
      <c r="E369" s="55">
        <v>960</v>
      </c>
      <c r="F369" s="55">
        <v>7</v>
      </c>
      <c r="G369" s="55">
        <v>2.7E-2</v>
      </c>
      <c r="H369" s="55"/>
      <c r="I369" s="55">
        <v>0.14000000000000001</v>
      </c>
      <c r="J369" s="56">
        <v>0.15</v>
      </c>
    </row>
    <row r="370" spans="2:10">
      <c r="B370" s="54" t="s">
        <v>349</v>
      </c>
      <c r="C370" s="55" t="s">
        <v>447</v>
      </c>
      <c r="D370" s="55">
        <v>1000</v>
      </c>
      <c r="E370" s="55">
        <v>960</v>
      </c>
      <c r="F370" s="55">
        <v>7</v>
      </c>
      <c r="G370" s="55">
        <v>2.7E-2</v>
      </c>
      <c r="H370" s="55"/>
      <c r="I370" s="55"/>
      <c r="J370" s="56">
        <v>0.34</v>
      </c>
    </row>
    <row r="371" spans="2:10">
      <c r="B371" s="54" t="s">
        <v>349</v>
      </c>
      <c r="C371" s="55" t="s">
        <v>448</v>
      </c>
      <c r="D371" s="55">
        <v>1000</v>
      </c>
      <c r="E371" s="55">
        <v>960</v>
      </c>
      <c r="F371" s="55">
        <v>7</v>
      </c>
      <c r="G371" s="55">
        <v>2.7E-2</v>
      </c>
      <c r="H371" s="55"/>
      <c r="I371" s="55"/>
      <c r="J371" s="56">
        <v>0.37</v>
      </c>
    </row>
    <row r="372" spans="2:10">
      <c r="B372" s="54" t="s">
        <v>349</v>
      </c>
      <c r="C372" s="55" t="s">
        <v>449</v>
      </c>
      <c r="D372" s="55">
        <v>900</v>
      </c>
      <c r="E372" s="55">
        <v>960</v>
      </c>
      <c r="F372" s="55">
        <v>7</v>
      </c>
      <c r="G372" s="55">
        <v>2.7E-2</v>
      </c>
      <c r="H372" s="55"/>
      <c r="I372" s="55"/>
      <c r="J372" s="56">
        <v>0.12</v>
      </c>
    </row>
    <row r="373" spans="2:10">
      <c r="B373" s="54" t="s">
        <v>349</v>
      </c>
      <c r="C373" s="55" t="s">
        <v>450</v>
      </c>
      <c r="D373" s="55">
        <v>1400</v>
      </c>
      <c r="E373" s="55">
        <v>960</v>
      </c>
      <c r="F373" s="55">
        <v>7</v>
      </c>
      <c r="G373" s="55">
        <v>2.7E-2</v>
      </c>
      <c r="H373" s="55">
        <v>1.5</v>
      </c>
      <c r="I373" s="55">
        <v>0.65</v>
      </c>
      <c r="J373" s="56">
        <v>0.88</v>
      </c>
    </row>
    <row r="374" spans="2:10">
      <c r="B374" s="54" t="s">
        <v>349</v>
      </c>
      <c r="C374" s="55" t="s">
        <v>451</v>
      </c>
      <c r="D374" s="55">
        <v>1450</v>
      </c>
      <c r="E374" s="55">
        <v>960</v>
      </c>
      <c r="F374" s="55">
        <v>7</v>
      </c>
      <c r="G374" s="55">
        <v>2.7E-2</v>
      </c>
      <c r="H374" s="55">
        <v>1.5</v>
      </c>
      <c r="I374" s="55">
        <v>0.7</v>
      </c>
      <c r="J374" s="56">
        <v>0.88</v>
      </c>
    </row>
    <row r="375" spans="2:10">
      <c r="B375" s="54" t="s">
        <v>349</v>
      </c>
      <c r="C375" s="55" t="s">
        <v>452</v>
      </c>
      <c r="D375" s="55">
        <v>1400</v>
      </c>
      <c r="E375" s="55">
        <v>960</v>
      </c>
      <c r="F375" s="55">
        <v>7</v>
      </c>
      <c r="G375" s="55">
        <v>2.7E-2</v>
      </c>
      <c r="H375" s="55">
        <v>1.5</v>
      </c>
      <c r="I375" s="55">
        <v>0.53</v>
      </c>
      <c r="J375" s="56">
        <v>0.63</v>
      </c>
    </row>
    <row r="376" spans="2:10">
      <c r="B376" s="54" t="s">
        <v>349</v>
      </c>
      <c r="C376" s="55" t="s">
        <v>453</v>
      </c>
      <c r="D376" s="55">
        <v>1400</v>
      </c>
      <c r="E376" s="55">
        <v>960</v>
      </c>
      <c r="F376" s="55">
        <v>7</v>
      </c>
      <c r="G376" s="55">
        <v>2.7E-2</v>
      </c>
      <c r="H376" s="55">
        <v>1.5</v>
      </c>
      <c r="I376" s="55">
        <v>0.56999999999999995</v>
      </c>
      <c r="J376" s="56">
        <v>0.64</v>
      </c>
    </row>
    <row r="377" spans="2:10">
      <c r="B377" s="54" t="s">
        <v>349</v>
      </c>
      <c r="C377" s="55" t="s">
        <v>454</v>
      </c>
      <c r="D377" s="55">
        <v>1250</v>
      </c>
      <c r="E377" s="55">
        <v>960</v>
      </c>
      <c r="F377" s="55">
        <v>7</v>
      </c>
      <c r="G377" s="55">
        <v>2.7E-2</v>
      </c>
      <c r="H377" s="55">
        <v>1.5</v>
      </c>
      <c r="I377" s="55">
        <v>0.64</v>
      </c>
      <c r="J377" s="56">
        <v>0.67</v>
      </c>
    </row>
    <row r="378" spans="2:10">
      <c r="B378" s="54" t="s">
        <v>349</v>
      </c>
      <c r="C378" s="55" t="s">
        <v>455</v>
      </c>
      <c r="D378" s="55">
        <v>1250</v>
      </c>
      <c r="E378" s="55">
        <v>960</v>
      </c>
      <c r="F378" s="55">
        <v>7</v>
      </c>
      <c r="G378" s="55">
        <v>2.7E-2</v>
      </c>
      <c r="H378" s="55">
        <v>1.5</v>
      </c>
      <c r="I378" s="55">
        <v>0.65</v>
      </c>
      <c r="J378" s="56">
        <v>0.69</v>
      </c>
    </row>
    <row r="379" spans="2:10">
      <c r="B379" s="54" t="s">
        <v>349</v>
      </c>
      <c r="C379" s="55" t="s">
        <v>456</v>
      </c>
      <c r="D379" s="55">
        <v>1250</v>
      </c>
      <c r="E379" s="55">
        <v>960</v>
      </c>
      <c r="F379" s="55">
        <v>7</v>
      </c>
      <c r="G379" s="55">
        <v>2.7E-2</v>
      </c>
      <c r="H379" s="55">
        <v>1.5</v>
      </c>
      <c r="I379" s="55">
        <v>0.49</v>
      </c>
      <c r="J379" s="56">
        <v>0.56999999999999995</v>
      </c>
    </row>
    <row r="380" spans="2:10">
      <c r="B380" s="54" t="s">
        <v>349</v>
      </c>
      <c r="C380" s="55" t="s">
        <v>457</v>
      </c>
      <c r="D380" s="55">
        <v>1250</v>
      </c>
      <c r="E380" s="55">
        <v>960</v>
      </c>
      <c r="F380" s="55">
        <v>7</v>
      </c>
      <c r="G380" s="55">
        <v>2.7E-2</v>
      </c>
      <c r="H380" s="55">
        <v>1.5</v>
      </c>
      <c r="I380" s="55">
        <v>0.49</v>
      </c>
      <c r="J380" s="56">
        <v>0.57999999999999996</v>
      </c>
    </row>
    <row r="381" spans="2:10">
      <c r="B381" s="54" t="s">
        <v>349</v>
      </c>
      <c r="C381" s="55" t="s">
        <v>458</v>
      </c>
      <c r="D381" s="55">
        <v>1100</v>
      </c>
      <c r="E381" s="55">
        <v>960</v>
      </c>
      <c r="F381" s="55">
        <v>2</v>
      </c>
      <c r="G381" s="55">
        <v>9.4E-2</v>
      </c>
      <c r="H381" s="55">
        <v>1.5</v>
      </c>
      <c r="I381" s="55">
        <v>0.32</v>
      </c>
      <c r="J381" s="56">
        <v>0.35</v>
      </c>
    </row>
    <row r="382" spans="2:10">
      <c r="B382" s="54" t="s">
        <v>349</v>
      </c>
      <c r="C382" s="55" t="s">
        <v>459</v>
      </c>
      <c r="D382" s="55">
        <v>1100</v>
      </c>
      <c r="E382" s="55">
        <v>960</v>
      </c>
      <c r="F382" s="55">
        <v>2</v>
      </c>
      <c r="G382" s="55">
        <v>9.4E-2</v>
      </c>
      <c r="H382" s="55">
        <v>1.5</v>
      </c>
      <c r="I382" s="55">
        <v>0.38</v>
      </c>
      <c r="J382" s="56">
        <v>0.31</v>
      </c>
    </row>
    <row r="383" spans="2:10">
      <c r="B383" s="54" t="s">
        <v>349</v>
      </c>
      <c r="C383" s="55" t="s">
        <v>460</v>
      </c>
      <c r="D383" s="55">
        <v>1000</v>
      </c>
      <c r="E383" s="55">
        <v>960</v>
      </c>
      <c r="F383" s="55">
        <v>2</v>
      </c>
      <c r="G383" s="55">
        <v>9.4E-2</v>
      </c>
      <c r="H383" s="55">
        <v>1.5</v>
      </c>
      <c r="I383" s="55">
        <v>0.32</v>
      </c>
      <c r="J383" s="56">
        <v>0.34</v>
      </c>
    </row>
    <row r="384" spans="2:10">
      <c r="B384" s="54" t="s">
        <v>349</v>
      </c>
      <c r="C384" s="55" t="s">
        <v>461</v>
      </c>
      <c r="D384" s="55">
        <v>1150</v>
      </c>
      <c r="E384" s="55">
        <v>960</v>
      </c>
      <c r="F384" s="55">
        <v>2</v>
      </c>
      <c r="G384" s="55">
        <v>9.4E-2</v>
      </c>
      <c r="H384" s="55">
        <v>1.5</v>
      </c>
      <c r="I384" s="55">
        <v>0.34</v>
      </c>
      <c r="J384" s="56">
        <v>0.37</v>
      </c>
    </row>
    <row r="385" spans="2:10">
      <c r="B385" s="54" t="s">
        <v>349</v>
      </c>
      <c r="C385" s="55" t="s">
        <v>462</v>
      </c>
      <c r="D385" s="55">
        <v>1500</v>
      </c>
      <c r="E385" s="55">
        <v>960</v>
      </c>
      <c r="F385" s="55">
        <v>7</v>
      </c>
      <c r="G385" s="55">
        <v>2.7E-2</v>
      </c>
      <c r="H385" s="55">
        <v>1.5</v>
      </c>
      <c r="I385" s="55">
        <v>0.67</v>
      </c>
      <c r="J385" s="56">
        <v>0.7</v>
      </c>
    </row>
    <row r="386" spans="2:10">
      <c r="B386" s="54" t="s">
        <v>349</v>
      </c>
      <c r="C386" s="55" t="s">
        <v>463</v>
      </c>
      <c r="D386" s="55">
        <v>1400</v>
      </c>
      <c r="E386" s="55">
        <v>960</v>
      </c>
      <c r="F386" s="55">
        <v>7</v>
      </c>
      <c r="G386" s="55">
        <v>2.7E-2</v>
      </c>
      <c r="H386" s="55">
        <v>1.5</v>
      </c>
      <c r="I386" s="55">
        <v>0.6</v>
      </c>
      <c r="J386" s="56">
        <v>0.65</v>
      </c>
    </row>
    <row r="387" spans="2:10">
      <c r="B387" s="54" t="s">
        <v>349</v>
      </c>
      <c r="C387" s="55" t="s">
        <v>464</v>
      </c>
      <c r="D387" s="55">
        <v>1350</v>
      </c>
      <c r="E387" s="55">
        <v>960</v>
      </c>
      <c r="F387" s="55">
        <v>7</v>
      </c>
      <c r="G387" s="55">
        <v>2.7E-2</v>
      </c>
      <c r="H387" s="55">
        <v>1.5</v>
      </c>
      <c r="I387" s="55">
        <v>0.51</v>
      </c>
      <c r="J387" s="56">
        <v>0.71</v>
      </c>
    </row>
    <row r="388" spans="2:10">
      <c r="B388" s="54" t="s">
        <v>349</v>
      </c>
      <c r="C388" s="55" t="s">
        <v>465</v>
      </c>
      <c r="D388" s="55">
        <v>1550</v>
      </c>
      <c r="E388" s="55">
        <v>960</v>
      </c>
      <c r="F388" s="55">
        <v>7</v>
      </c>
      <c r="G388" s="55">
        <v>2.7E-2</v>
      </c>
      <c r="H388" s="55">
        <v>1.5</v>
      </c>
      <c r="I388" s="55">
        <v>0.55000000000000004</v>
      </c>
      <c r="J388" s="56">
        <v>0.69</v>
      </c>
    </row>
    <row r="389" spans="2:10">
      <c r="B389" s="54" t="s">
        <v>349</v>
      </c>
      <c r="C389" s="55" t="s">
        <v>466</v>
      </c>
      <c r="D389" s="55">
        <v>1450</v>
      </c>
      <c r="E389" s="55">
        <v>960</v>
      </c>
      <c r="F389" s="55">
        <v>7</v>
      </c>
      <c r="G389" s="55">
        <v>2.7E-2</v>
      </c>
      <c r="H389" s="55">
        <v>1.5</v>
      </c>
      <c r="I389" s="55">
        <v>0.52</v>
      </c>
      <c r="J389" s="56">
        <v>0.69</v>
      </c>
    </row>
    <row r="390" spans="2:10">
      <c r="B390" s="54" t="s">
        <v>349</v>
      </c>
      <c r="C390" s="55" t="s">
        <v>467</v>
      </c>
      <c r="D390" s="55">
        <v>1550</v>
      </c>
      <c r="E390" s="55">
        <v>960</v>
      </c>
      <c r="F390" s="55">
        <v>7</v>
      </c>
      <c r="G390" s="55">
        <v>2.7E-2</v>
      </c>
      <c r="H390" s="55">
        <v>1.5</v>
      </c>
      <c r="I390" s="55">
        <v>0.56999999999999995</v>
      </c>
      <c r="J390" s="56">
        <v>0.73</v>
      </c>
    </row>
    <row r="391" spans="2:10">
      <c r="B391" s="54" t="s">
        <v>349</v>
      </c>
      <c r="C391" s="55" t="s">
        <v>468</v>
      </c>
      <c r="D391" s="55">
        <v>1300</v>
      </c>
      <c r="E391" s="55">
        <v>960</v>
      </c>
      <c r="F391" s="55">
        <v>7</v>
      </c>
      <c r="G391" s="55">
        <v>2.7E-2</v>
      </c>
      <c r="H391" s="55">
        <v>1.5</v>
      </c>
      <c r="I391" s="55">
        <v>0.57999999999999996</v>
      </c>
      <c r="J391" s="56">
        <v>0.64</v>
      </c>
    </row>
    <row r="392" spans="2:10">
      <c r="B392" s="54" t="s">
        <v>349</v>
      </c>
      <c r="C392" s="55" t="s">
        <v>469</v>
      </c>
      <c r="D392" s="55">
        <v>1300</v>
      </c>
      <c r="E392" s="55">
        <v>960</v>
      </c>
      <c r="F392" s="55">
        <v>7</v>
      </c>
      <c r="G392" s="55">
        <v>2.7E-2</v>
      </c>
      <c r="H392" s="55">
        <v>1.5</v>
      </c>
      <c r="I392" s="55">
        <v>0.48</v>
      </c>
      <c r="J392" s="56">
        <v>0.53</v>
      </c>
    </row>
    <row r="393" spans="2:10">
      <c r="B393" s="54" t="s">
        <v>349</v>
      </c>
      <c r="C393" s="55" t="s">
        <v>470</v>
      </c>
      <c r="D393" s="55">
        <v>1000</v>
      </c>
      <c r="E393" s="55">
        <v>960</v>
      </c>
      <c r="F393" s="55">
        <v>7</v>
      </c>
      <c r="G393" s="55">
        <v>2.7E-2</v>
      </c>
      <c r="H393" s="55">
        <v>1.5</v>
      </c>
      <c r="I393" s="55">
        <v>0.32</v>
      </c>
      <c r="J393" s="56">
        <v>0.36</v>
      </c>
    </row>
    <row r="394" spans="2:10">
      <c r="B394" s="54" t="s">
        <v>349</v>
      </c>
      <c r="C394" s="55" t="s">
        <v>471</v>
      </c>
      <c r="D394" s="55">
        <v>1700</v>
      </c>
      <c r="E394" s="55">
        <v>900</v>
      </c>
      <c r="F394" s="55">
        <v>8.5</v>
      </c>
      <c r="G394" s="55">
        <v>2.1999999999999999E-2</v>
      </c>
      <c r="H394" s="55">
        <v>1.5</v>
      </c>
      <c r="I394" s="55">
        <v>0.73</v>
      </c>
      <c r="J394" s="56">
        <v>0.8</v>
      </c>
    </row>
    <row r="395" spans="2:10">
      <c r="B395" s="54" t="s">
        <v>349</v>
      </c>
      <c r="C395" s="55" t="s">
        <v>472</v>
      </c>
      <c r="D395" s="55">
        <v>1800</v>
      </c>
      <c r="E395" s="55">
        <v>900</v>
      </c>
      <c r="F395" s="55">
        <v>9</v>
      </c>
      <c r="G395" s="55">
        <v>2.1000000000000001E-2</v>
      </c>
      <c r="H395" s="55">
        <v>1.5</v>
      </c>
      <c r="I395" s="55">
        <v>0.77</v>
      </c>
      <c r="J395" s="56">
        <v>0.86</v>
      </c>
    </row>
    <row r="396" spans="2:10">
      <c r="B396" s="54" t="s">
        <v>349</v>
      </c>
      <c r="C396" s="55" t="s">
        <v>473</v>
      </c>
      <c r="D396" s="55">
        <v>800</v>
      </c>
      <c r="E396" s="55">
        <v>960</v>
      </c>
      <c r="F396" s="55">
        <v>7</v>
      </c>
      <c r="G396" s="55">
        <v>2.7E-2</v>
      </c>
      <c r="H396" s="55">
        <v>1.5</v>
      </c>
      <c r="I396" s="55">
        <v>0.49</v>
      </c>
      <c r="J396" s="56">
        <v>0.5</v>
      </c>
    </row>
    <row r="397" spans="2:10">
      <c r="B397" s="54" t="s">
        <v>349</v>
      </c>
      <c r="C397" s="55" t="s">
        <v>474</v>
      </c>
      <c r="D397" s="55">
        <v>800</v>
      </c>
      <c r="E397" s="55">
        <v>960</v>
      </c>
      <c r="F397" s="55">
        <v>7</v>
      </c>
      <c r="G397" s="55">
        <v>2.7E-2</v>
      </c>
      <c r="H397" s="55">
        <v>1.5</v>
      </c>
      <c r="I397" s="55">
        <v>0.55000000000000004</v>
      </c>
      <c r="J397" s="56">
        <v>0.57999999999999996</v>
      </c>
    </row>
  </sheetData>
  <sheetProtection algorithmName="SHA-512" hashValue="K0isXOFF+7jecGZT37Rje6OiFV1rgcN8Z2UwV3DZgl5swdgtIH0BYCFCEeKQrNZXWolbjrcJxytAFEgOBn8UiA==" saltValue="fi6TRLvudmDva2o7jVsoog==" spinCount="100000" sheet="1" objects="1" scenarios="1"/>
  <autoFilter ref="B4:J397" xr:uid="{00000000-0009-0000-0000-000002000000}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6"/>
    <pageSetUpPr fitToPage="1"/>
  </sheetPr>
  <dimension ref="A1:M69"/>
  <sheetViews>
    <sheetView zoomScale="85" zoomScaleNormal="85" workbookViewId="0">
      <selection activeCell="L29" sqref="L29"/>
    </sheetView>
  </sheetViews>
  <sheetFormatPr defaultRowHeight="15"/>
  <cols>
    <col min="1" max="1" width="29.42578125" style="247" customWidth="1"/>
    <col min="2" max="16384" width="9.140625" style="237"/>
  </cols>
  <sheetData>
    <row r="1" spans="1:13">
      <c r="A1" s="236" t="s">
        <v>509</v>
      </c>
    </row>
    <row r="2" spans="1:13">
      <c r="A2" s="238" t="s">
        <v>510</v>
      </c>
    </row>
    <row r="3" spans="1:13">
      <c r="A3" s="238"/>
    </row>
    <row r="4" spans="1:13">
      <c r="A4" s="238"/>
    </row>
    <row r="5" spans="1:13">
      <c r="A5" s="238" t="s">
        <v>511</v>
      </c>
    </row>
    <row r="6" spans="1:13">
      <c r="A6" s="238" t="s">
        <v>512</v>
      </c>
    </row>
    <row r="7" spans="1:13">
      <c r="A7" s="238" t="s">
        <v>513</v>
      </c>
    </row>
    <row r="8" spans="1:13">
      <c r="A8" s="238" t="s">
        <v>514</v>
      </c>
    </row>
    <row r="9" spans="1:13">
      <c r="A9" s="238" t="s">
        <v>515</v>
      </c>
    </row>
    <row r="10" spans="1:13">
      <c r="A10" s="238"/>
    </row>
    <row r="11" spans="1:13" ht="15.75" thickBot="1">
      <c r="A11" s="238"/>
    </row>
    <row r="12" spans="1:13">
      <c r="A12" s="239" t="s">
        <v>516</v>
      </c>
      <c r="B12" s="240"/>
      <c r="C12" s="241"/>
      <c r="D12" s="241">
        <f>'Výkony '!O5/1000 + SUM(D65:D69)/1000</f>
        <v>0</v>
      </c>
      <c r="E12" s="242" t="s">
        <v>517</v>
      </c>
      <c r="F12" s="237" t="s">
        <v>518</v>
      </c>
    </row>
    <row r="13" spans="1:13">
      <c r="A13" s="243" t="s">
        <v>519</v>
      </c>
      <c r="B13" s="244"/>
      <c r="C13" s="245"/>
      <c r="D13" s="245">
        <f>obálka_ST!W70</f>
        <v>0</v>
      </c>
      <c r="E13" s="246" t="s">
        <v>517</v>
      </c>
      <c r="F13" s="237" t="s">
        <v>520</v>
      </c>
    </row>
    <row r="14" spans="1:13" ht="27.75" customHeight="1" thickBot="1">
      <c r="A14" s="367" t="str">
        <f>IF(D12&gt;1.08*D13,"PROVOZNĚ VHODNÉ", "Nedostatečný výkon otopné soustavy")</f>
        <v>Nedostatečný výkon otopné soustavy</v>
      </c>
      <c r="B14" s="368"/>
      <c r="C14" s="368"/>
      <c r="D14" s="368"/>
      <c r="E14" s="369"/>
    </row>
    <row r="15" spans="1:13" ht="15.75" thickBot="1"/>
    <row r="16" spans="1:13">
      <c r="A16" s="248" t="s">
        <v>521</v>
      </c>
      <c r="B16" s="380" t="s">
        <v>522</v>
      </c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2"/>
    </row>
    <row r="17" spans="1:13">
      <c r="A17" s="249" t="s">
        <v>523</v>
      </c>
      <c r="B17" s="375" t="s">
        <v>524</v>
      </c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8"/>
    </row>
    <row r="18" spans="1:13">
      <c r="A18" s="249"/>
      <c r="B18" s="375" t="s">
        <v>525</v>
      </c>
      <c r="C18" s="397"/>
      <c r="D18" s="397"/>
      <c r="E18" s="397"/>
      <c r="F18" s="397" t="s">
        <v>526</v>
      </c>
      <c r="G18" s="397"/>
      <c r="H18" s="397"/>
      <c r="I18" s="397"/>
      <c r="J18" s="397" t="s">
        <v>527</v>
      </c>
      <c r="K18" s="397"/>
      <c r="L18" s="397"/>
      <c r="M18" s="398"/>
    </row>
    <row r="19" spans="1:13" ht="15.75" thickBot="1">
      <c r="A19" s="250"/>
      <c r="B19" s="251" t="s">
        <v>528</v>
      </c>
      <c r="C19" s="252">
        <v>500</v>
      </c>
      <c r="D19" s="252">
        <v>600</v>
      </c>
      <c r="E19" s="252">
        <v>900</v>
      </c>
      <c r="F19" s="252" t="s">
        <v>528</v>
      </c>
      <c r="G19" s="252">
        <v>500</v>
      </c>
      <c r="H19" s="252">
        <v>600</v>
      </c>
      <c r="I19" s="252">
        <v>900</v>
      </c>
      <c r="J19" s="252" t="s">
        <v>528</v>
      </c>
      <c r="K19" s="252">
        <v>500</v>
      </c>
      <c r="L19" s="252">
        <v>600</v>
      </c>
      <c r="M19" s="253">
        <v>900</v>
      </c>
    </row>
    <row r="20" spans="1:13">
      <c r="A20" s="254">
        <v>400</v>
      </c>
      <c r="B20" s="77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9"/>
    </row>
    <row r="21" spans="1:13">
      <c r="A21" s="249">
        <v>500</v>
      </c>
      <c r="B21" s="80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2"/>
    </row>
    <row r="22" spans="1:13">
      <c r="A22" s="249">
        <v>600</v>
      </c>
      <c r="B22" s="80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2"/>
    </row>
    <row r="23" spans="1:13">
      <c r="A23" s="249">
        <v>700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2"/>
    </row>
    <row r="24" spans="1:13">
      <c r="A24" s="249">
        <v>800</v>
      </c>
      <c r="B24" s="80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2"/>
    </row>
    <row r="25" spans="1:13">
      <c r="A25" s="249">
        <v>900</v>
      </c>
      <c r="B25" s="80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2"/>
    </row>
    <row r="26" spans="1:13">
      <c r="A26" s="249">
        <v>1000</v>
      </c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2"/>
    </row>
    <row r="27" spans="1:13">
      <c r="A27" s="249">
        <v>1100</v>
      </c>
      <c r="B27" s="80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2"/>
    </row>
    <row r="28" spans="1:13">
      <c r="A28" s="249">
        <v>1200</v>
      </c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2"/>
    </row>
    <row r="29" spans="1:13">
      <c r="A29" s="249">
        <v>1400</v>
      </c>
      <c r="B29" s="80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2"/>
    </row>
    <row r="30" spans="1:13">
      <c r="A30" s="249">
        <v>1600</v>
      </c>
      <c r="B30" s="8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2"/>
    </row>
    <row r="31" spans="1:13">
      <c r="A31" s="249">
        <v>1800</v>
      </c>
      <c r="B31" s="80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2"/>
    </row>
    <row r="32" spans="1:13">
      <c r="A32" s="249">
        <v>2000</v>
      </c>
      <c r="B32" s="80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2"/>
    </row>
    <row r="33" spans="1:13" ht="15.75" thickBot="1">
      <c r="A33" s="250" t="s">
        <v>529</v>
      </c>
      <c r="B33" s="269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270"/>
    </row>
    <row r="34" spans="1:13" ht="15.75" thickBot="1"/>
    <row r="35" spans="1:13">
      <c r="A35" s="255" t="s">
        <v>530</v>
      </c>
      <c r="B35" s="392" t="s">
        <v>531</v>
      </c>
      <c r="C35" s="386"/>
      <c r="D35" s="386"/>
      <c r="E35" s="387"/>
    </row>
    <row r="36" spans="1:13" ht="15.75" thickBot="1">
      <c r="A36" s="275" t="s">
        <v>649</v>
      </c>
      <c r="B36" s="370" t="s">
        <v>533</v>
      </c>
      <c r="C36" s="371"/>
      <c r="D36" s="256" t="s">
        <v>534</v>
      </c>
      <c r="E36" s="257"/>
    </row>
    <row r="37" spans="1:13">
      <c r="A37" s="254">
        <v>350</v>
      </c>
      <c r="B37" s="378">
        <v>160</v>
      </c>
      <c r="C37" s="379"/>
      <c r="D37" s="395"/>
      <c r="E37" s="396"/>
    </row>
    <row r="38" spans="1:13">
      <c r="A38" s="249">
        <v>500</v>
      </c>
      <c r="B38" s="374">
        <v>70</v>
      </c>
      <c r="C38" s="375"/>
      <c r="D38" s="376"/>
      <c r="E38" s="377"/>
    </row>
    <row r="39" spans="1:13">
      <c r="A39" s="249">
        <v>500</v>
      </c>
      <c r="B39" s="374">
        <v>110</v>
      </c>
      <c r="C39" s="375"/>
      <c r="D39" s="376"/>
      <c r="E39" s="377"/>
    </row>
    <row r="40" spans="1:13">
      <c r="A40" s="249">
        <v>500</v>
      </c>
      <c r="B40" s="374">
        <v>160</v>
      </c>
      <c r="C40" s="375"/>
      <c r="D40" s="376"/>
      <c r="E40" s="377"/>
    </row>
    <row r="41" spans="1:13">
      <c r="A41" s="249">
        <v>500</v>
      </c>
      <c r="B41" s="374">
        <v>220</v>
      </c>
      <c r="C41" s="375"/>
      <c r="D41" s="376"/>
      <c r="E41" s="377"/>
    </row>
    <row r="42" spans="1:13">
      <c r="A42" s="249">
        <v>600</v>
      </c>
      <c r="B42" s="374">
        <v>160</v>
      </c>
      <c r="C42" s="375"/>
      <c r="D42" s="376"/>
      <c r="E42" s="377"/>
    </row>
    <row r="43" spans="1:13">
      <c r="A43" s="249">
        <v>900</v>
      </c>
      <c r="B43" s="374">
        <v>70</v>
      </c>
      <c r="C43" s="375"/>
      <c r="D43" s="376"/>
      <c r="E43" s="377"/>
    </row>
    <row r="44" spans="1:13" ht="15.75" thickBot="1">
      <c r="A44" s="250">
        <v>900</v>
      </c>
      <c r="B44" s="370">
        <v>160</v>
      </c>
      <c r="C44" s="371"/>
      <c r="D44" s="372"/>
      <c r="E44" s="373"/>
    </row>
    <row r="45" spans="1:13" ht="15.75" thickBot="1"/>
    <row r="46" spans="1:13">
      <c r="A46" s="255" t="s">
        <v>535</v>
      </c>
      <c r="B46" s="392" t="s">
        <v>522</v>
      </c>
      <c r="C46" s="386"/>
      <c r="D46" s="386"/>
      <c r="E46" s="387"/>
    </row>
    <row r="47" spans="1:13">
      <c r="A47" s="249" t="s">
        <v>532</v>
      </c>
      <c r="B47" s="393" t="s">
        <v>536</v>
      </c>
      <c r="C47" s="374"/>
      <c r="D47" s="374"/>
      <c r="E47" s="394"/>
    </row>
    <row r="48" spans="1:13" ht="15.75" thickBot="1">
      <c r="A48" s="250"/>
      <c r="B48" s="258">
        <v>450</v>
      </c>
      <c r="C48" s="252">
        <v>500</v>
      </c>
      <c r="D48" s="256">
        <v>600</v>
      </c>
      <c r="E48" s="257">
        <v>750</v>
      </c>
    </row>
    <row r="49" spans="1:5">
      <c r="A49" s="254">
        <v>700</v>
      </c>
      <c r="B49" s="84"/>
      <c r="C49" s="85"/>
      <c r="D49" s="85"/>
      <c r="E49" s="86"/>
    </row>
    <row r="50" spans="1:5">
      <c r="A50" s="249">
        <v>900</v>
      </c>
      <c r="B50" s="87"/>
      <c r="C50" s="88"/>
      <c r="D50" s="88"/>
      <c r="E50" s="89"/>
    </row>
    <row r="51" spans="1:5">
      <c r="A51" s="249">
        <v>1200</v>
      </c>
      <c r="B51" s="87"/>
      <c r="C51" s="88"/>
      <c r="D51" s="88"/>
      <c r="E51" s="89"/>
    </row>
    <row r="52" spans="1:5">
      <c r="A52" s="249">
        <v>1500</v>
      </c>
      <c r="B52" s="87"/>
      <c r="C52" s="88"/>
      <c r="D52" s="88"/>
      <c r="E52" s="89"/>
    </row>
    <row r="53" spans="1:5" ht="15.75" thickBot="1">
      <c r="A53" s="259">
        <v>1800</v>
      </c>
      <c r="B53" s="90"/>
      <c r="C53" s="91"/>
      <c r="D53" s="91"/>
      <c r="E53" s="92"/>
    </row>
    <row r="54" spans="1:5" ht="15.75" thickBot="1">
      <c r="A54" s="260" t="s">
        <v>537</v>
      </c>
      <c r="B54" s="261" t="s">
        <v>538</v>
      </c>
      <c r="C54" s="262"/>
      <c r="D54" s="262"/>
      <c r="E54" s="263" t="s">
        <v>539</v>
      </c>
    </row>
    <row r="55" spans="1:5">
      <c r="A55" s="279"/>
      <c r="B55" s="84"/>
      <c r="C55" s="276"/>
      <c r="D55" s="276"/>
      <c r="E55" s="86"/>
    </row>
    <row r="56" spans="1:5">
      <c r="A56" s="280"/>
      <c r="B56" s="87"/>
      <c r="C56" s="277"/>
      <c r="D56" s="277"/>
      <c r="E56" s="89"/>
    </row>
    <row r="57" spans="1:5">
      <c r="A57" s="280"/>
      <c r="B57" s="87"/>
      <c r="C57" s="277"/>
      <c r="D57" s="277"/>
      <c r="E57" s="89"/>
    </row>
    <row r="58" spans="1:5">
      <c r="A58" s="280"/>
      <c r="B58" s="87"/>
      <c r="C58" s="277"/>
      <c r="D58" s="277"/>
      <c r="E58" s="89"/>
    </row>
    <row r="59" spans="1:5" ht="15.75" thickBot="1">
      <c r="A59" s="281"/>
      <c r="B59" s="93"/>
      <c r="C59" s="278"/>
      <c r="D59" s="278"/>
      <c r="E59" s="94"/>
    </row>
    <row r="61" spans="1:5" ht="15.75" thickBot="1"/>
    <row r="62" spans="1:5">
      <c r="A62" s="264" t="s">
        <v>625</v>
      </c>
      <c r="B62" s="385" t="s">
        <v>629</v>
      </c>
      <c r="C62" s="386"/>
      <c r="D62" s="387"/>
    </row>
    <row r="63" spans="1:5">
      <c r="A63" s="265"/>
      <c r="B63" s="388" t="s">
        <v>626</v>
      </c>
      <c r="C63" s="390" t="s">
        <v>627</v>
      </c>
      <c r="D63" s="383" t="s">
        <v>628</v>
      </c>
    </row>
    <row r="64" spans="1:5" ht="30.75" customHeight="1" thickBot="1">
      <c r="A64" s="266" t="s">
        <v>630</v>
      </c>
      <c r="B64" s="389"/>
      <c r="C64" s="391"/>
      <c r="D64" s="384"/>
    </row>
    <row r="65" spans="1:4">
      <c r="A65" s="279">
        <v>1</v>
      </c>
      <c r="B65" s="84"/>
      <c r="C65" s="85"/>
      <c r="D65" s="267" t="str">
        <f>IF((B65*C65)&gt;0,B65*C65,"")</f>
        <v/>
      </c>
    </row>
    <row r="66" spans="1:4">
      <c r="A66" s="280">
        <v>2</v>
      </c>
      <c r="B66" s="84"/>
      <c r="C66" s="85"/>
      <c r="D66" s="267" t="str">
        <f t="shared" ref="D66:D69" si="0">IF((B66*C66)&gt;0,B66*C66,"")</f>
        <v/>
      </c>
    </row>
    <row r="67" spans="1:4">
      <c r="A67" s="280">
        <v>3</v>
      </c>
      <c r="B67" s="84"/>
      <c r="C67" s="85"/>
      <c r="D67" s="267" t="str">
        <f t="shared" si="0"/>
        <v/>
      </c>
    </row>
    <row r="68" spans="1:4">
      <c r="A68" s="280">
        <v>4</v>
      </c>
      <c r="B68" s="84"/>
      <c r="C68" s="85"/>
      <c r="D68" s="267" t="str">
        <f t="shared" si="0"/>
        <v/>
      </c>
    </row>
    <row r="69" spans="1:4" ht="15.75" thickBot="1">
      <c r="A69" s="281">
        <v>5</v>
      </c>
      <c r="B69" s="153"/>
      <c r="C69" s="154"/>
      <c r="D69" s="268" t="str">
        <f t="shared" si="0"/>
        <v/>
      </c>
    </row>
  </sheetData>
  <sheetProtection algorithmName="SHA-512" hashValue="MELAZS/gEM7wIUquK9univpuyip9XE0qaPzcI/Z5EuiN7CzIrK7W0wlb3fNc+5wYWuyr+L9QHUBaAE1FArxh8A==" saltValue="rPIiq6SqpLLvnuZEX/LmBQ==" spinCount="100000" sheet="1" objects="1" scenarios="1"/>
  <mergeCells count="30">
    <mergeCell ref="B16:M16"/>
    <mergeCell ref="D63:D64"/>
    <mergeCell ref="B62:D62"/>
    <mergeCell ref="B63:B64"/>
    <mergeCell ref="C63:C64"/>
    <mergeCell ref="B46:E46"/>
    <mergeCell ref="B35:E35"/>
    <mergeCell ref="B47:E47"/>
    <mergeCell ref="D37:E37"/>
    <mergeCell ref="B17:M17"/>
    <mergeCell ref="B18:E18"/>
    <mergeCell ref="F18:I18"/>
    <mergeCell ref="J18:M18"/>
    <mergeCell ref="B36:C36"/>
    <mergeCell ref="A14:E14"/>
    <mergeCell ref="B44:C44"/>
    <mergeCell ref="D44:E44"/>
    <mergeCell ref="B41:C41"/>
    <mergeCell ref="D41:E41"/>
    <mergeCell ref="B42:C42"/>
    <mergeCell ref="D42:E42"/>
    <mergeCell ref="B43:C43"/>
    <mergeCell ref="D43:E43"/>
    <mergeCell ref="B38:C38"/>
    <mergeCell ref="D38:E38"/>
    <mergeCell ref="B39:C39"/>
    <mergeCell ref="D39:E39"/>
    <mergeCell ref="B40:C40"/>
    <mergeCell ref="D40:E40"/>
    <mergeCell ref="B37:C37"/>
  </mergeCells>
  <conditionalFormatting sqref="A14:E14">
    <cfRule type="cellIs" dxfId="12" priority="1" operator="equal">
      <formula>"PROVOZNĚ VHODNÉ"</formula>
    </cfRule>
  </conditionalFormatting>
  <dataValidations count="1">
    <dataValidation type="decimal" allowBlank="1" showInputMessage="1" showErrorMessage="1" error="Měrný výkon v rozmezí 50 - 90 W/m2" sqref="C65:C69" xr:uid="{00000000-0002-0000-0300-000000000000}">
      <formula1>40</formula1>
      <formula2>90</formula2>
    </dataValidation>
  </dataValidations>
  <pageMargins left="0.70866141732283472" right="0.70866141732283472" top="0.78740157480314965" bottom="0.78740157480314965" header="0.31496062992125984" footer="0.31496062992125984"/>
  <pageSetup paperSize="9" scale="90" fitToHeight="0" orientation="landscape" r:id="rId1"/>
  <rowBreaks count="1" manualBreakCount="1">
    <brk id="34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AB52"/>
  <sheetViews>
    <sheetView topLeftCell="A3" zoomScale="85" zoomScaleNormal="85" workbookViewId="0">
      <selection activeCell="B10" sqref="B10"/>
    </sheetView>
  </sheetViews>
  <sheetFormatPr defaultRowHeight="15"/>
  <cols>
    <col min="1" max="1" width="29.42578125" style="66" customWidth="1"/>
    <col min="2" max="16" width="9.140625" style="64"/>
    <col min="17" max="28" width="0" style="64" hidden="1" customWidth="1"/>
    <col min="29" max="16384" width="9.140625" style="64"/>
  </cols>
  <sheetData>
    <row r="1" spans="1:28">
      <c r="A1" s="67" t="s">
        <v>543</v>
      </c>
      <c r="B1" s="68"/>
      <c r="C1" s="68"/>
    </row>
    <row r="2" spans="1:28" ht="15.75" thickBot="1">
      <c r="A2" s="65"/>
    </row>
    <row r="3" spans="1:28" ht="30">
      <c r="A3" s="65"/>
      <c r="O3" s="69" t="s">
        <v>544</v>
      </c>
    </row>
    <row r="4" spans="1:28">
      <c r="A4" s="65"/>
      <c r="O4" s="70"/>
    </row>
    <row r="5" spans="1:28" ht="15.75" thickBot="1">
      <c r="O5" s="71">
        <f>SUM(O10:O50)</f>
        <v>0</v>
      </c>
    </row>
    <row r="6" spans="1:28">
      <c r="A6" s="66" t="s">
        <v>521</v>
      </c>
      <c r="B6" s="64" t="s">
        <v>545</v>
      </c>
    </row>
    <row r="7" spans="1:28" ht="15.75" thickBot="1">
      <c r="A7" s="66" t="s">
        <v>523</v>
      </c>
      <c r="B7" s="399" t="s">
        <v>524</v>
      </c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</row>
    <row r="8" spans="1:28">
      <c r="B8" s="399" t="s">
        <v>525</v>
      </c>
      <c r="C8" s="399"/>
      <c r="D8" s="399"/>
      <c r="E8" s="399"/>
      <c r="F8" s="399" t="s">
        <v>526</v>
      </c>
      <c r="G8" s="399"/>
      <c r="H8" s="399"/>
      <c r="I8" s="399"/>
      <c r="J8" s="399" t="s">
        <v>527</v>
      </c>
      <c r="K8" s="399"/>
      <c r="L8" s="399"/>
      <c r="M8" s="399"/>
      <c r="O8" s="72" t="s">
        <v>546</v>
      </c>
    </row>
    <row r="9" spans="1:28">
      <c r="B9" s="64">
        <v>300</v>
      </c>
      <c r="C9" s="64">
        <v>500</v>
      </c>
      <c r="D9" s="64">
        <v>600</v>
      </c>
      <c r="E9" s="64">
        <v>900</v>
      </c>
      <c r="F9" s="64">
        <v>300</v>
      </c>
      <c r="G9" s="64">
        <v>500</v>
      </c>
      <c r="H9" s="64">
        <v>600</v>
      </c>
      <c r="I9" s="64">
        <v>900</v>
      </c>
      <c r="J9" s="64">
        <v>300</v>
      </c>
      <c r="K9" s="64">
        <v>500</v>
      </c>
      <c r="L9" s="64">
        <v>600</v>
      </c>
      <c r="M9" s="64">
        <v>900</v>
      </c>
      <c r="O9" s="73"/>
    </row>
    <row r="10" spans="1:28">
      <c r="A10" s="66">
        <v>400</v>
      </c>
      <c r="B10" s="75">
        <v>112</v>
      </c>
      <c r="C10" s="75">
        <v>176</v>
      </c>
      <c r="D10" s="75">
        <v>205</v>
      </c>
      <c r="E10" s="75">
        <v>284</v>
      </c>
      <c r="F10" s="75">
        <v>152</v>
      </c>
      <c r="G10" s="75">
        <v>227</v>
      </c>
      <c r="H10" s="75">
        <v>261</v>
      </c>
      <c r="I10" s="75">
        <v>351</v>
      </c>
      <c r="J10" s="75">
        <v>284</v>
      </c>
      <c r="K10" s="75">
        <v>422</v>
      </c>
      <c r="L10" s="75">
        <v>485</v>
      </c>
      <c r="M10" s="75">
        <v>664</v>
      </c>
      <c r="O10" s="73">
        <f>SUM(Q10:AB10)</f>
        <v>0</v>
      </c>
      <c r="Q10" s="64">
        <f>B10*'Zadání OS'!B20</f>
        <v>0</v>
      </c>
      <c r="R10" s="64">
        <f>C10*'Zadání OS'!C20</f>
        <v>0</v>
      </c>
      <c r="S10" s="64">
        <f>D10*'Zadání OS'!D20</f>
        <v>0</v>
      </c>
      <c r="T10" s="64">
        <f>E10*'Zadání OS'!E20</f>
        <v>0</v>
      </c>
      <c r="U10" s="64">
        <f>F10*'Zadání OS'!F20</f>
        <v>0</v>
      </c>
      <c r="V10" s="64">
        <f>G10*'Zadání OS'!G20</f>
        <v>0</v>
      </c>
      <c r="W10" s="64">
        <f>H10*'Zadání OS'!H20</f>
        <v>0</v>
      </c>
      <c r="X10" s="64">
        <f>I10*'Zadání OS'!I20</f>
        <v>0</v>
      </c>
      <c r="Y10" s="64">
        <f>J10*'Zadání OS'!J20</f>
        <v>0</v>
      </c>
      <c r="Z10" s="64">
        <f>K10*'Zadání OS'!K20</f>
        <v>0</v>
      </c>
      <c r="AA10" s="64">
        <f>L10*'Zadání OS'!L20</f>
        <v>0</v>
      </c>
      <c r="AB10" s="64">
        <f>M10*'Zadání OS'!M20</f>
        <v>0</v>
      </c>
    </row>
    <row r="11" spans="1:28">
      <c r="A11" s="66">
        <v>500</v>
      </c>
      <c r="B11" s="75">
        <v>140</v>
      </c>
      <c r="C11" s="75">
        <v>219</v>
      </c>
      <c r="D11" s="75">
        <v>256</v>
      </c>
      <c r="E11" s="75">
        <v>355</v>
      </c>
      <c r="F11" s="75">
        <v>190</v>
      </c>
      <c r="G11" s="75">
        <v>283</v>
      </c>
      <c r="H11" s="75">
        <v>326</v>
      </c>
      <c r="I11" s="75">
        <v>438</v>
      </c>
      <c r="J11" s="75">
        <v>355</v>
      </c>
      <c r="K11" s="75">
        <v>527</v>
      </c>
      <c r="L11" s="75">
        <v>606</v>
      </c>
      <c r="M11" s="75">
        <v>830</v>
      </c>
      <c r="O11" s="73">
        <f t="shared" ref="O11:O23" si="0">SUM(Q11:AB11)</f>
        <v>0</v>
      </c>
      <c r="Q11" s="64">
        <f>B11*'Zadání OS'!B21</f>
        <v>0</v>
      </c>
      <c r="R11" s="64">
        <f>C11*'Zadání OS'!C21</f>
        <v>0</v>
      </c>
      <c r="S11" s="64">
        <f>D11*'Zadání OS'!D21</f>
        <v>0</v>
      </c>
      <c r="T11" s="64">
        <f>E11*'Zadání OS'!E21</f>
        <v>0</v>
      </c>
      <c r="U11" s="64">
        <f>F11*'Zadání OS'!F21</f>
        <v>0</v>
      </c>
      <c r="V11" s="64">
        <f>G11*'Zadání OS'!G21</f>
        <v>0</v>
      </c>
      <c r="W11" s="64">
        <f>H11*'Zadání OS'!H21</f>
        <v>0</v>
      </c>
      <c r="X11" s="64">
        <f>I11*'Zadání OS'!I21</f>
        <v>0</v>
      </c>
      <c r="Y11" s="64">
        <f>J11*'Zadání OS'!J21</f>
        <v>0</v>
      </c>
      <c r="Z11" s="64">
        <f>K11*'Zadání OS'!K21</f>
        <v>0</v>
      </c>
      <c r="AA11" s="64">
        <f>L11*'Zadání OS'!L21</f>
        <v>0</v>
      </c>
      <c r="AB11" s="64">
        <f>M11*'Zadání OS'!M21</f>
        <v>0</v>
      </c>
    </row>
    <row r="12" spans="1:28">
      <c r="A12" s="66">
        <v>600</v>
      </c>
      <c r="B12" s="75">
        <v>168</v>
      </c>
      <c r="C12" s="75">
        <v>263</v>
      </c>
      <c r="D12" s="75">
        <v>308</v>
      </c>
      <c r="E12" s="75">
        <v>426</v>
      </c>
      <c r="F12" s="75">
        <v>228</v>
      </c>
      <c r="G12" s="75">
        <v>340</v>
      </c>
      <c r="H12" s="75">
        <v>391</v>
      </c>
      <c r="I12" s="75">
        <v>526</v>
      </c>
      <c r="J12" s="75">
        <v>426</v>
      </c>
      <c r="K12" s="75">
        <v>633</v>
      </c>
      <c r="L12" s="75">
        <v>727</v>
      </c>
      <c r="M12" s="75">
        <v>996</v>
      </c>
      <c r="O12" s="73">
        <f t="shared" si="0"/>
        <v>0</v>
      </c>
      <c r="Q12" s="64">
        <f>B12*'Zadání OS'!B22</f>
        <v>0</v>
      </c>
      <c r="R12" s="64">
        <f>C12*'Zadání OS'!C22</f>
        <v>0</v>
      </c>
      <c r="S12" s="64">
        <f>D12*'Zadání OS'!D22</f>
        <v>0</v>
      </c>
      <c r="T12" s="64">
        <f>E12*'Zadání OS'!E22</f>
        <v>0</v>
      </c>
      <c r="U12" s="64">
        <f>F12*'Zadání OS'!F22</f>
        <v>0</v>
      </c>
      <c r="V12" s="64">
        <f>G12*'Zadání OS'!G22</f>
        <v>0</v>
      </c>
      <c r="W12" s="64">
        <f>H12*'Zadání OS'!H22</f>
        <v>0</v>
      </c>
      <c r="X12" s="64">
        <f>I12*'Zadání OS'!I22</f>
        <v>0</v>
      </c>
      <c r="Y12" s="64">
        <f>J12*'Zadání OS'!J22</f>
        <v>0</v>
      </c>
      <c r="Z12" s="64">
        <f>K12*'Zadání OS'!K22</f>
        <v>0</v>
      </c>
      <c r="AA12" s="64">
        <f>L12*'Zadání OS'!L22</f>
        <v>0</v>
      </c>
      <c r="AB12" s="64">
        <f>M12*'Zadání OS'!M22</f>
        <v>0</v>
      </c>
    </row>
    <row r="13" spans="1:28">
      <c r="A13" s="66">
        <v>700</v>
      </c>
      <c r="B13" s="75">
        <v>196</v>
      </c>
      <c r="C13" s="75">
        <v>307</v>
      </c>
      <c r="D13" s="75">
        <v>359</v>
      </c>
      <c r="E13" s="75">
        <v>497</v>
      </c>
      <c r="F13" s="75">
        <v>266</v>
      </c>
      <c r="G13" s="75">
        <v>397</v>
      </c>
      <c r="H13" s="75">
        <v>457</v>
      </c>
      <c r="I13" s="75">
        <v>614</v>
      </c>
      <c r="J13" s="75">
        <v>497</v>
      </c>
      <c r="K13" s="75">
        <v>738</v>
      </c>
      <c r="L13" s="75">
        <v>848</v>
      </c>
      <c r="M13" s="75">
        <v>1161</v>
      </c>
      <c r="O13" s="73">
        <f t="shared" si="0"/>
        <v>0</v>
      </c>
      <c r="Q13" s="64">
        <f>B13*'Zadání OS'!B23</f>
        <v>0</v>
      </c>
      <c r="R13" s="64">
        <f>C13*'Zadání OS'!C23</f>
        <v>0</v>
      </c>
      <c r="S13" s="64">
        <f>D13*'Zadání OS'!D23</f>
        <v>0</v>
      </c>
      <c r="T13" s="64">
        <f>E13*'Zadání OS'!E23</f>
        <v>0</v>
      </c>
      <c r="U13" s="64">
        <f>F13*'Zadání OS'!F23</f>
        <v>0</v>
      </c>
      <c r="V13" s="64">
        <f>G13*'Zadání OS'!G23</f>
        <v>0</v>
      </c>
      <c r="W13" s="64">
        <f>H13*'Zadání OS'!H23</f>
        <v>0</v>
      </c>
      <c r="X13" s="64">
        <f>I13*'Zadání OS'!I23</f>
        <v>0</v>
      </c>
      <c r="Y13" s="64">
        <f>J13*'Zadání OS'!J23</f>
        <v>0</v>
      </c>
      <c r="Z13" s="64">
        <f>K13*'Zadání OS'!K23</f>
        <v>0</v>
      </c>
      <c r="AA13" s="64">
        <f>L13*'Zadání OS'!L23</f>
        <v>0</v>
      </c>
      <c r="AB13" s="64">
        <f>M13*'Zadání OS'!M23</f>
        <v>0</v>
      </c>
    </row>
    <row r="14" spans="1:28">
      <c r="A14" s="66">
        <v>800</v>
      </c>
      <c r="B14" s="75">
        <v>224</v>
      </c>
      <c r="C14" s="75">
        <v>351</v>
      </c>
      <c r="D14" s="75">
        <v>410</v>
      </c>
      <c r="E14" s="75">
        <v>568</v>
      </c>
      <c r="F14" s="75">
        <v>304</v>
      </c>
      <c r="G14" s="75">
        <v>453</v>
      </c>
      <c r="H14" s="75">
        <v>522</v>
      </c>
      <c r="I14" s="75">
        <v>701</v>
      </c>
      <c r="J14" s="75">
        <v>569</v>
      </c>
      <c r="K14" s="75">
        <v>844</v>
      </c>
      <c r="L14" s="75">
        <v>969</v>
      </c>
      <c r="M14" s="75">
        <v>1327</v>
      </c>
      <c r="O14" s="73">
        <f t="shared" si="0"/>
        <v>0</v>
      </c>
      <c r="Q14" s="64">
        <f>B14*'Zadání OS'!B24</f>
        <v>0</v>
      </c>
      <c r="R14" s="64">
        <f>C14*'Zadání OS'!C24</f>
        <v>0</v>
      </c>
      <c r="S14" s="64">
        <f>D14*'Zadání OS'!D24</f>
        <v>0</v>
      </c>
      <c r="T14" s="64">
        <f>E14*'Zadání OS'!E24</f>
        <v>0</v>
      </c>
      <c r="U14" s="64">
        <f>F14*'Zadání OS'!F24</f>
        <v>0</v>
      </c>
      <c r="V14" s="64">
        <f>G14*'Zadání OS'!G24</f>
        <v>0</v>
      </c>
      <c r="W14" s="64">
        <f>H14*'Zadání OS'!H24</f>
        <v>0</v>
      </c>
      <c r="X14" s="64">
        <f>I14*'Zadání OS'!I24</f>
        <v>0</v>
      </c>
      <c r="Y14" s="64">
        <f>J14*'Zadání OS'!J24</f>
        <v>0</v>
      </c>
      <c r="Z14" s="64">
        <f>K14*'Zadání OS'!K24</f>
        <v>0</v>
      </c>
      <c r="AA14" s="64">
        <f>L14*'Zadání OS'!L24</f>
        <v>0</v>
      </c>
      <c r="AB14" s="64">
        <f>M14*'Zadání OS'!M24</f>
        <v>0</v>
      </c>
    </row>
    <row r="15" spans="1:28">
      <c r="A15" s="66">
        <v>900</v>
      </c>
      <c r="B15" s="75">
        <v>252</v>
      </c>
      <c r="C15" s="75">
        <v>395</v>
      </c>
      <c r="D15" s="75">
        <v>462</v>
      </c>
      <c r="E15" s="75">
        <v>639</v>
      </c>
      <c r="F15" s="75">
        <v>342</v>
      </c>
      <c r="G15" s="75">
        <v>510</v>
      </c>
      <c r="H15" s="75">
        <v>587</v>
      </c>
      <c r="I15" s="75">
        <v>789</v>
      </c>
      <c r="J15" s="75">
        <v>640</v>
      </c>
      <c r="K15" s="75">
        <v>949</v>
      </c>
      <c r="L15" s="75">
        <v>1090</v>
      </c>
      <c r="M15" s="75">
        <v>1493</v>
      </c>
      <c r="O15" s="73">
        <f t="shared" si="0"/>
        <v>0</v>
      </c>
      <c r="Q15" s="64">
        <f>B15*'Zadání OS'!B25</f>
        <v>0</v>
      </c>
      <c r="R15" s="64">
        <f>C15*'Zadání OS'!C25</f>
        <v>0</v>
      </c>
      <c r="S15" s="64">
        <f>D15*'Zadání OS'!D25</f>
        <v>0</v>
      </c>
      <c r="T15" s="64">
        <f>E15*'Zadání OS'!E25</f>
        <v>0</v>
      </c>
      <c r="U15" s="64">
        <f>F15*'Zadání OS'!F25</f>
        <v>0</v>
      </c>
      <c r="V15" s="64">
        <f>G15*'Zadání OS'!G25</f>
        <v>0</v>
      </c>
      <c r="W15" s="64">
        <f>H15*'Zadání OS'!H25</f>
        <v>0</v>
      </c>
      <c r="X15" s="64">
        <f>I15*'Zadání OS'!I25</f>
        <v>0</v>
      </c>
      <c r="Y15" s="64">
        <f>J15*'Zadání OS'!J25</f>
        <v>0</v>
      </c>
      <c r="Z15" s="64">
        <f>K15*'Zadání OS'!K25</f>
        <v>0</v>
      </c>
      <c r="AA15" s="64">
        <f>L15*'Zadání OS'!L25</f>
        <v>0</v>
      </c>
      <c r="AB15" s="64">
        <f>M15*'Zadání OS'!M25</f>
        <v>0</v>
      </c>
    </row>
    <row r="16" spans="1:28">
      <c r="A16" s="66">
        <v>1000</v>
      </c>
      <c r="B16" s="75">
        <v>280</v>
      </c>
      <c r="C16" s="75">
        <v>439</v>
      </c>
      <c r="D16" s="75">
        <v>513</v>
      </c>
      <c r="E16" s="75">
        <v>710</v>
      </c>
      <c r="F16" s="75">
        <v>380</v>
      </c>
      <c r="G16" s="75">
        <v>567</v>
      </c>
      <c r="H16" s="75">
        <v>652</v>
      </c>
      <c r="I16" s="75">
        <v>877</v>
      </c>
      <c r="J16" s="75">
        <v>711</v>
      </c>
      <c r="K16" s="75">
        <v>1055</v>
      </c>
      <c r="L16" s="75">
        <v>1211</v>
      </c>
      <c r="M16" s="75">
        <v>1659</v>
      </c>
      <c r="O16" s="73">
        <f t="shared" si="0"/>
        <v>0</v>
      </c>
      <c r="Q16" s="64">
        <f>B16*'Zadání OS'!B26</f>
        <v>0</v>
      </c>
      <c r="R16" s="64">
        <f>C16*'Zadání OS'!C26</f>
        <v>0</v>
      </c>
      <c r="S16" s="64">
        <f>D16*'Zadání OS'!D26</f>
        <v>0</v>
      </c>
      <c r="T16" s="64">
        <f>E16*'Zadání OS'!E26</f>
        <v>0</v>
      </c>
      <c r="U16" s="64">
        <f>F16*'Zadání OS'!F26</f>
        <v>0</v>
      </c>
      <c r="V16" s="64">
        <f>G16*'Zadání OS'!G26</f>
        <v>0</v>
      </c>
      <c r="W16" s="64">
        <f>H16*'Zadání OS'!H26</f>
        <v>0</v>
      </c>
      <c r="X16" s="64">
        <f>I16*'Zadání OS'!I26</f>
        <v>0</v>
      </c>
      <c r="Y16" s="64">
        <f>J16*'Zadání OS'!J26</f>
        <v>0</v>
      </c>
      <c r="Z16" s="64">
        <f>K16*'Zadání OS'!K26</f>
        <v>0</v>
      </c>
      <c r="AA16" s="64">
        <f>L16*'Zadání OS'!L26</f>
        <v>0</v>
      </c>
      <c r="AB16" s="64">
        <f>M16*'Zadání OS'!M26</f>
        <v>0</v>
      </c>
    </row>
    <row r="17" spans="1:28">
      <c r="A17" s="66">
        <v>1100</v>
      </c>
      <c r="B17" s="75">
        <v>308</v>
      </c>
      <c r="C17" s="75">
        <v>483</v>
      </c>
      <c r="D17" s="75">
        <v>564</v>
      </c>
      <c r="E17" s="75">
        <v>781</v>
      </c>
      <c r="F17" s="75">
        <v>418</v>
      </c>
      <c r="G17" s="75">
        <v>624</v>
      </c>
      <c r="H17" s="75">
        <v>718</v>
      </c>
      <c r="I17" s="75">
        <v>964</v>
      </c>
      <c r="J17" s="75">
        <v>782</v>
      </c>
      <c r="K17" s="75">
        <v>1160</v>
      </c>
      <c r="L17" s="75">
        <v>1332</v>
      </c>
      <c r="M17" s="75">
        <v>1825</v>
      </c>
      <c r="O17" s="73">
        <f t="shared" si="0"/>
        <v>0</v>
      </c>
      <c r="Q17" s="64">
        <f>B17*'Zadání OS'!B27</f>
        <v>0</v>
      </c>
      <c r="R17" s="64">
        <f>C17*'Zadání OS'!C27</f>
        <v>0</v>
      </c>
      <c r="S17" s="64">
        <f>D17*'Zadání OS'!D27</f>
        <v>0</v>
      </c>
      <c r="T17" s="64">
        <f>E17*'Zadání OS'!E27</f>
        <v>0</v>
      </c>
      <c r="U17" s="64">
        <f>F17*'Zadání OS'!F27</f>
        <v>0</v>
      </c>
      <c r="V17" s="64">
        <f>G17*'Zadání OS'!G27</f>
        <v>0</v>
      </c>
      <c r="W17" s="64">
        <f>H17*'Zadání OS'!H27</f>
        <v>0</v>
      </c>
      <c r="X17" s="64">
        <f>I17*'Zadání OS'!I27</f>
        <v>0</v>
      </c>
      <c r="Y17" s="64">
        <f>J17*'Zadání OS'!J27</f>
        <v>0</v>
      </c>
      <c r="Z17" s="64">
        <f>K17*'Zadání OS'!K27</f>
        <v>0</v>
      </c>
      <c r="AA17" s="64">
        <f>L17*'Zadání OS'!L27</f>
        <v>0</v>
      </c>
      <c r="AB17" s="64">
        <f>M17*'Zadání OS'!M27</f>
        <v>0</v>
      </c>
    </row>
    <row r="18" spans="1:28">
      <c r="A18" s="66">
        <v>1200</v>
      </c>
      <c r="B18" s="75">
        <v>336</v>
      </c>
      <c r="C18" s="75">
        <v>527</v>
      </c>
      <c r="D18" s="75">
        <v>616</v>
      </c>
      <c r="E18" s="75">
        <v>852</v>
      </c>
      <c r="F18" s="75">
        <v>456</v>
      </c>
      <c r="G18" s="75">
        <v>680</v>
      </c>
      <c r="H18" s="75">
        <v>783</v>
      </c>
      <c r="I18" s="75">
        <v>1052</v>
      </c>
      <c r="J18" s="75">
        <v>853</v>
      </c>
      <c r="K18" s="75">
        <v>1266</v>
      </c>
      <c r="L18" s="75">
        <v>1454</v>
      </c>
      <c r="M18" s="75">
        <v>1991</v>
      </c>
      <c r="O18" s="73">
        <f t="shared" si="0"/>
        <v>0</v>
      </c>
      <c r="Q18" s="64">
        <f>B18*'Zadání OS'!B28</f>
        <v>0</v>
      </c>
      <c r="R18" s="64">
        <f>C18*'Zadání OS'!C28</f>
        <v>0</v>
      </c>
      <c r="S18" s="64">
        <f>D18*'Zadání OS'!D28</f>
        <v>0</v>
      </c>
      <c r="T18" s="64">
        <f>E18*'Zadání OS'!E28</f>
        <v>0</v>
      </c>
      <c r="U18" s="64">
        <f>F18*'Zadání OS'!F28</f>
        <v>0</v>
      </c>
      <c r="V18" s="64">
        <f>G18*'Zadání OS'!G28</f>
        <v>0</v>
      </c>
      <c r="W18" s="64">
        <f>H18*'Zadání OS'!H28</f>
        <v>0</v>
      </c>
      <c r="X18" s="64">
        <f>I18*'Zadání OS'!I28</f>
        <v>0</v>
      </c>
      <c r="Y18" s="64">
        <f>J18*'Zadání OS'!J28</f>
        <v>0</v>
      </c>
      <c r="Z18" s="64">
        <f>K18*'Zadání OS'!K28</f>
        <v>0</v>
      </c>
      <c r="AA18" s="64">
        <f>L18*'Zadání OS'!L28</f>
        <v>0</v>
      </c>
      <c r="AB18" s="64">
        <f>M18*'Zadání OS'!M28</f>
        <v>0</v>
      </c>
    </row>
    <row r="19" spans="1:28">
      <c r="A19" s="66">
        <v>1400</v>
      </c>
      <c r="B19" s="75">
        <v>392</v>
      </c>
      <c r="C19" s="75">
        <v>614</v>
      </c>
      <c r="D19" s="75">
        <v>718</v>
      </c>
      <c r="E19" s="75">
        <v>994</v>
      </c>
      <c r="F19" s="75">
        <v>532</v>
      </c>
      <c r="G19" s="75">
        <v>794</v>
      </c>
      <c r="H19" s="75">
        <v>913</v>
      </c>
      <c r="I19" s="75">
        <v>1227</v>
      </c>
      <c r="J19" s="75">
        <v>995</v>
      </c>
      <c r="K19" s="75">
        <v>1477</v>
      </c>
      <c r="L19" s="75">
        <v>1696</v>
      </c>
      <c r="M19" s="75">
        <v>2323</v>
      </c>
      <c r="O19" s="73">
        <f t="shared" si="0"/>
        <v>0</v>
      </c>
      <c r="Q19" s="64">
        <f>B19*'Zadání OS'!B29</f>
        <v>0</v>
      </c>
      <c r="R19" s="64">
        <f>C19*'Zadání OS'!C29</f>
        <v>0</v>
      </c>
      <c r="S19" s="64">
        <f>D19*'Zadání OS'!D29</f>
        <v>0</v>
      </c>
      <c r="T19" s="64">
        <f>E19*'Zadání OS'!E29</f>
        <v>0</v>
      </c>
      <c r="U19" s="64">
        <f>F19*'Zadání OS'!F29</f>
        <v>0</v>
      </c>
      <c r="V19" s="64">
        <f>G19*'Zadání OS'!G29</f>
        <v>0</v>
      </c>
      <c r="W19" s="64">
        <f>H19*'Zadání OS'!H29</f>
        <v>0</v>
      </c>
      <c r="X19" s="64">
        <f>I19*'Zadání OS'!I29</f>
        <v>0</v>
      </c>
      <c r="Y19" s="64">
        <f>J19*'Zadání OS'!J29</f>
        <v>0</v>
      </c>
      <c r="Z19" s="64">
        <f>K19*'Zadání OS'!K29</f>
        <v>0</v>
      </c>
      <c r="AA19" s="64">
        <f>L19*'Zadání OS'!L29</f>
        <v>0</v>
      </c>
      <c r="AB19" s="64">
        <f>M19*'Zadání OS'!M29</f>
        <v>0</v>
      </c>
    </row>
    <row r="20" spans="1:28">
      <c r="A20" s="66">
        <v>1600</v>
      </c>
      <c r="B20" s="75">
        <v>449</v>
      </c>
      <c r="C20" s="75">
        <v>702</v>
      </c>
      <c r="D20" s="75">
        <v>821</v>
      </c>
      <c r="E20" s="75">
        <v>1136</v>
      </c>
      <c r="F20" s="75">
        <v>607</v>
      </c>
      <c r="G20" s="75">
        <v>907</v>
      </c>
      <c r="H20" s="75">
        <v>1044</v>
      </c>
      <c r="I20" s="75">
        <v>1403</v>
      </c>
      <c r="J20" s="75">
        <v>1137</v>
      </c>
      <c r="K20" s="75">
        <v>1688</v>
      </c>
      <c r="L20" s="75">
        <v>1938</v>
      </c>
      <c r="M20" s="75">
        <v>2655</v>
      </c>
      <c r="O20" s="73">
        <f t="shared" si="0"/>
        <v>0</v>
      </c>
      <c r="Q20" s="64">
        <f>B20*'Zadání OS'!B30</f>
        <v>0</v>
      </c>
      <c r="R20" s="64">
        <f>C20*'Zadání OS'!C30</f>
        <v>0</v>
      </c>
      <c r="S20" s="64">
        <f>D20*'Zadání OS'!D30</f>
        <v>0</v>
      </c>
      <c r="T20" s="64">
        <f>E20*'Zadání OS'!E30</f>
        <v>0</v>
      </c>
      <c r="U20" s="64">
        <f>F20*'Zadání OS'!F30</f>
        <v>0</v>
      </c>
      <c r="V20" s="64">
        <f>G20*'Zadání OS'!G30</f>
        <v>0</v>
      </c>
      <c r="W20" s="64">
        <f>H20*'Zadání OS'!H30</f>
        <v>0</v>
      </c>
      <c r="X20" s="64">
        <f>I20*'Zadání OS'!I30</f>
        <v>0</v>
      </c>
      <c r="Y20" s="64">
        <f>J20*'Zadání OS'!J30</f>
        <v>0</v>
      </c>
      <c r="Z20" s="64">
        <f>K20*'Zadání OS'!K30</f>
        <v>0</v>
      </c>
      <c r="AA20" s="64">
        <f>L20*'Zadání OS'!L30</f>
        <v>0</v>
      </c>
      <c r="AB20" s="64">
        <f>M20*'Zadání OS'!M30</f>
        <v>0</v>
      </c>
    </row>
    <row r="21" spans="1:28">
      <c r="A21" s="66">
        <v>1800</v>
      </c>
      <c r="B21" s="75">
        <v>505</v>
      </c>
      <c r="C21" s="75">
        <v>790</v>
      </c>
      <c r="D21" s="75">
        <v>923</v>
      </c>
      <c r="E21" s="273">
        <v>1278</v>
      </c>
      <c r="F21" s="75">
        <v>683</v>
      </c>
      <c r="G21" s="75">
        <v>1020</v>
      </c>
      <c r="H21" s="75">
        <v>1174</v>
      </c>
      <c r="I21" s="75">
        <v>1578</v>
      </c>
      <c r="J21" s="75">
        <v>1279</v>
      </c>
      <c r="K21" s="75">
        <v>1899</v>
      </c>
      <c r="L21" s="75">
        <v>2180</v>
      </c>
      <c r="M21" s="75">
        <v>2987</v>
      </c>
      <c r="O21" s="73">
        <f t="shared" si="0"/>
        <v>0</v>
      </c>
      <c r="Q21" s="64">
        <f>B21*'Zadání OS'!B31</f>
        <v>0</v>
      </c>
      <c r="R21" s="64">
        <f>C21*'Zadání OS'!C31</f>
        <v>0</v>
      </c>
      <c r="S21" s="64">
        <f>D21*'Zadání OS'!D31</f>
        <v>0</v>
      </c>
      <c r="T21" s="64">
        <f>E21*'Zadání OS'!E31</f>
        <v>0</v>
      </c>
      <c r="U21" s="64">
        <f>F21*'Zadání OS'!F31</f>
        <v>0</v>
      </c>
      <c r="V21" s="64">
        <f>G21*'Zadání OS'!G31</f>
        <v>0</v>
      </c>
      <c r="W21" s="64">
        <f>H21*'Zadání OS'!H31</f>
        <v>0</v>
      </c>
      <c r="X21" s="64">
        <f>I21*'Zadání OS'!I31</f>
        <v>0</v>
      </c>
      <c r="Y21" s="64">
        <f>J21*'Zadání OS'!J31</f>
        <v>0</v>
      </c>
      <c r="Z21" s="64">
        <f>K21*'Zadání OS'!K31</f>
        <v>0</v>
      </c>
      <c r="AA21" s="64">
        <f>L21*'Zadání OS'!L31</f>
        <v>0</v>
      </c>
      <c r="AB21" s="64">
        <f>M21*'Zadání OS'!M31</f>
        <v>0</v>
      </c>
    </row>
    <row r="22" spans="1:28">
      <c r="A22" s="66">
        <v>2000</v>
      </c>
      <c r="B22" s="75">
        <v>561</v>
      </c>
      <c r="C22" s="75">
        <v>878</v>
      </c>
      <c r="D22" s="75">
        <v>1026</v>
      </c>
      <c r="E22" s="273">
        <v>1420</v>
      </c>
      <c r="F22" s="75">
        <v>759</v>
      </c>
      <c r="G22" s="75">
        <v>1134</v>
      </c>
      <c r="H22" s="75">
        <v>1305</v>
      </c>
      <c r="I22" s="75">
        <v>1753</v>
      </c>
      <c r="J22" s="75">
        <v>1421</v>
      </c>
      <c r="K22" s="75">
        <v>2110</v>
      </c>
      <c r="L22" s="75">
        <v>2423</v>
      </c>
      <c r="M22" s="75">
        <v>3318</v>
      </c>
      <c r="O22" s="73">
        <f t="shared" si="0"/>
        <v>0</v>
      </c>
      <c r="Q22" s="64">
        <f>B22*'Zadání OS'!B32</f>
        <v>0</v>
      </c>
      <c r="R22" s="64">
        <f>C22*'Zadání OS'!C32</f>
        <v>0</v>
      </c>
      <c r="S22" s="64">
        <f>D22*'Zadání OS'!D32</f>
        <v>0</v>
      </c>
      <c r="T22" s="64">
        <f>E22*'Zadání OS'!E32</f>
        <v>0</v>
      </c>
      <c r="U22" s="64">
        <f>F22*'Zadání OS'!F32</f>
        <v>0</v>
      </c>
      <c r="V22" s="64">
        <f>G22*'Zadání OS'!G32</f>
        <v>0</v>
      </c>
      <c r="W22" s="64">
        <f>H22*'Zadání OS'!H32</f>
        <v>0</v>
      </c>
      <c r="X22" s="64">
        <f>I22*'Zadání OS'!I32</f>
        <v>0</v>
      </c>
      <c r="Y22" s="64">
        <f>J22*'Zadání OS'!J32</f>
        <v>0</v>
      </c>
      <c r="Z22" s="64">
        <f>K22*'Zadání OS'!K32</f>
        <v>0</v>
      </c>
      <c r="AA22" s="64">
        <f>L22*'Zadání OS'!L32</f>
        <v>0</v>
      </c>
      <c r="AB22" s="64">
        <f>M22*'Zadání OS'!M32</f>
        <v>0</v>
      </c>
    </row>
    <row r="23" spans="1:28">
      <c r="A23" s="66" t="s">
        <v>529</v>
      </c>
      <c r="B23" s="273">
        <v>645</v>
      </c>
      <c r="C23" s="75">
        <v>1009</v>
      </c>
      <c r="D23" s="75">
        <v>1180</v>
      </c>
      <c r="E23" s="273">
        <v>1633</v>
      </c>
      <c r="F23" s="273">
        <v>873</v>
      </c>
      <c r="G23" s="75">
        <v>1304</v>
      </c>
      <c r="H23" s="75">
        <v>1500</v>
      </c>
      <c r="I23" s="273">
        <v>1964</v>
      </c>
      <c r="J23" s="75">
        <v>1635</v>
      </c>
      <c r="K23" s="75">
        <v>2426</v>
      </c>
      <c r="L23" s="75">
        <v>2786</v>
      </c>
      <c r="M23" s="273">
        <v>3540</v>
      </c>
      <c r="O23" s="73">
        <f t="shared" si="0"/>
        <v>0</v>
      </c>
      <c r="Q23" s="64">
        <f>B23*'Zadání OS'!B33</f>
        <v>0</v>
      </c>
      <c r="R23" s="64">
        <f>C23*'Zadání OS'!C33</f>
        <v>0</v>
      </c>
      <c r="S23" s="64">
        <f>D23*'Zadání OS'!D33</f>
        <v>0</v>
      </c>
      <c r="T23" s="64">
        <f>E23*'Zadání OS'!E33</f>
        <v>0</v>
      </c>
      <c r="U23" s="64">
        <f>F23*'Zadání OS'!F33</f>
        <v>0</v>
      </c>
      <c r="V23" s="64">
        <f>G23*'Zadání OS'!G33</f>
        <v>0</v>
      </c>
      <c r="W23" s="64">
        <f>H23*'Zadání OS'!H33</f>
        <v>0</v>
      </c>
      <c r="X23" s="64">
        <f>I23*'Zadání OS'!I33</f>
        <v>0</v>
      </c>
      <c r="Y23" s="64">
        <f>J23*'Zadání OS'!J33</f>
        <v>0</v>
      </c>
      <c r="Z23" s="64">
        <f>K23*'Zadání OS'!K33</f>
        <v>0</v>
      </c>
      <c r="AA23" s="64">
        <f>L23*'Zadání OS'!L33</f>
        <v>0</v>
      </c>
      <c r="AB23" s="64">
        <f>M23*'Zadání OS'!M33</f>
        <v>0</v>
      </c>
    </row>
    <row r="24" spans="1:28">
      <c r="O24" s="73"/>
    </row>
    <row r="25" spans="1:28">
      <c r="A25" s="66" t="s">
        <v>530</v>
      </c>
      <c r="B25" s="64" t="s">
        <v>531</v>
      </c>
      <c r="O25" s="73"/>
    </row>
    <row r="26" spans="1:28">
      <c r="A26" s="274" t="s">
        <v>649</v>
      </c>
      <c r="B26" s="65" t="s">
        <v>533</v>
      </c>
      <c r="C26" s="66"/>
      <c r="D26" s="64" t="s">
        <v>547</v>
      </c>
      <c r="O26" s="73"/>
    </row>
    <row r="27" spans="1:28">
      <c r="A27" s="66">
        <v>350</v>
      </c>
      <c r="B27" s="64">
        <v>160</v>
      </c>
      <c r="D27" s="76">
        <v>35.1</v>
      </c>
      <c r="O27" s="73">
        <f>D27*'Zadání OS'!D37</f>
        <v>0</v>
      </c>
    </row>
    <row r="28" spans="1:28">
      <c r="A28" s="66">
        <v>500</v>
      </c>
      <c r="B28" s="64">
        <v>70</v>
      </c>
      <c r="D28" s="76">
        <v>27.4</v>
      </c>
      <c r="O28" s="73">
        <f>D28*'Zadání OS'!D38</f>
        <v>0</v>
      </c>
    </row>
    <row r="29" spans="1:28">
      <c r="A29" s="66">
        <v>500</v>
      </c>
      <c r="B29" s="64">
        <v>110</v>
      </c>
      <c r="D29" s="76">
        <v>36.9</v>
      </c>
      <c r="O29" s="73">
        <f>D29*'Zadání OS'!D39</f>
        <v>0</v>
      </c>
    </row>
    <row r="30" spans="1:28">
      <c r="A30" s="66">
        <v>500</v>
      </c>
      <c r="B30" s="64">
        <v>160</v>
      </c>
      <c r="D30" s="76">
        <v>46.7</v>
      </c>
      <c r="O30" s="73">
        <f>D30*'Zadání OS'!D40</f>
        <v>0</v>
      </c>
    </row>
    <row r="31" spans="1:28">
      <c r="A31" s="66">
        <v>500</v>
      </c>
      <c r="B31" s="64">
        <v>220</v>
      </c>
      <c r="D31" s="76">
        <v>59.9</v>
      </c>
      <c r="O31" s="73">
        <f>D31*'Zadání OS'!D41</f>
        <v>0</v>
      </c>
    </row>
    <row r="32" spans="1:28">
      <c r="A32" s="66">
        <v>600</v>
      </c>
      <c r="B32" s="64">
        <v>160</v>
      </c>
      <c r="D32" s="76">
        <v>56</v>
      </c>
      <c r="O32" s="73">
        <f>D32*'Zadání OS'!D42</f>
        <v>0</v>
      </c>
    </row>
    <row r="33" spans="1:20">
      <c r="A33" s="66">
        <v>900</v>
      </c>
      <c r="B33" s="64">
        <v>70</v>
      </c>
      <c r="D33" s="76">
        <v>44.1</v>
      </c>
      <c r="O33" s="73">
        <f>D33*'Zadání OS'!D43</f>
        <v>0</v>
      </c>
    </row>
    <row r="34" spans="1:20">
      <c r="A34" s="66">
        <v>900</v>
      </c>
      <c r="B34" s="64">
        <v>160</v>
      </c>
      <c r="D34" s="76">
        <v>74.900000000000006</v>
      </c>
      <c r="O34" s="73">
        <f>D34*'Zadání OS'!D44</f>
        <v>0</v>
      </c>
    </row>
    <row r="35" spans="1:20">
      <c r="O35" s="73"/>
    </row>
    <row r="36" spans="1:20">
      <c r="A36" s="66" t="s">
        <v>535</v>
      </c>
      <c r="B36" s="64" t="s">
        <v>545</v>
      </c>
      <c r="O36" s="73"/>
    </row>
    <row r="37" spans="1:20">
      <c r="A37" s="66" t="s">
        <v>532</v>
      </c>
      <c r="B37" s="65" t="s">
        <v>536</v>
      </c>
      <c r="C37" s="66"/>
      <c r="O37" s="73"/>
    </row>
    <row r="38" spans="1:20">
      <c r="B38" s="65">
        <v>450</v>
      </c>
      <c r="C38" s="66">
        <v>500</v>
      </c>
      <c r="D38" s="64">
        <v>600</v>
      </c>
      <c r="E38" s="64">
        <v>750</v>
      </c>
      <c r="O38" s="73"/>
    </row>
    <row r="39" spans="1:20">
      <c r="A39" s="66">
        <v>700</v>
      </c>
      <c r="B39" s="75">
        <v>287</v>
      </c>
      <c r="C39" s="75">
        <v>315</v>
      </c>
      <c r="D39" s="75">
        <v>370</v>
      </c>
      <c r="E39" s="75">
        <v>450</v>
      </c>
      <c r="O39" s="73">
        <f>SUM(Q39:T39)</f>
        <v>0</v>
      </c>
      <c r="Q39" s="64">
        <f>B39*'Zadání OS'!B49</f>
        <v>0</v>
      </c>
      <c r="R39" s="64">
        <f>C39*'Zadání OS'!C49</f>
        <v>0</v>
      </c>
      <c r="S39" s="64">
        <f>D39*'Zadání OS'!D49</f>
        <v>0</v>
      </c>
      <c r="T39" s="64">
        <f>E39*'Zadání OS'!E49</f>
        <v>0</v>
      </c>
    </row>
    <row r="40" spans="1:20">
      <c r="A40" s="66">
        <v>900</v>
      </c>
      <c r="B40" s="75">
        <v>369</v>
      </c>
      <c r="C40" s="75">
        <v>405</v>
      </c>
      <c r="D40" s="75">
        <v>475</v>
      </c>
      <c r="E40" s="75">
        <v>579</v>
      </c>
      <c r="O40" s="73">
        <f t="shared" ref="O40:O43" si="1">SUM(Q40:T40)</f>
        <v>0</v>
      </c>
      <c r="Q40" s="64">
        <f>B40*'Zadání OS'!B50</f>
        <v>0</v>
      </c>
      <c r="R40" s="64">
        <f>C40*'Zadání OS'!C50</f>
        <v>0</v>
      </c>
      <c r="S40" s="64">
        <f>D40*'Zadání OS'!D50</f>
        <v>0</v>
      </c>
      <c r="T40" s="64">
        <f>E40*'Zadání OS'!E50</f>
        <v>0</v>
      </c>
    </row>
    <row r="41" spans="1:20">
      <c r="A41" s="66">
        <v>1200</v>
      </c>
      <c r="B41" s="75">
        <v>504</v>
      </c>
      <c r="C41" s="75">
        <v>553</v>
      </c>
      <c r="D41" s="75">
        <v>650</v>
      </c>
      <c r="E41" s="75">
        <v>791</v>
      </c>
      <c r="O41" s="73">
        <f t="shared" si="1"/>
        <v>0</v>
      </c>
      <c r="Q41" s="64">
        <f>B41*'Zadání OS'!B51</f>
        <v>0</v>
      </c>
      <c r="R41" s="64">
        <f>C41*'Zadání OS'!C51</f>
        <v>0</v>
      </c>
      <c r="S41" s="64">
        <f>D41*'Zadání OS'!D51</f>
        <v>0</v>
      </c>
      <c r="T41" s="64">
        <f>E41*'Zadání OS'!E51</f>
        <v>0</v>
      </c>
    </row>
    <row r="42" spans="1:20">
      <c r="A42" s="66">
        <v>1500</v>
      </c>
      <c r="B42" s="75">
        <v>626</v>
      </c>
      <c r="C42" s="75">
        <v>687</v>
      </c>
      <c r="D42" s="75">
        <v>808</v>
      </c>
      <c r="E42" s="75">
        <v>984</v>
      </c>
      <c r="O42" s="73">
        <f t="shared" si="1"/>
        <v>0</v>
      </c>
      <c r="Q42" s="64">
        <f>B42*'Zadání OS'!B52</f>
        <v>0</v>
      </c>
      <c r="R42" s="64">
        <f>C42*'Zadání OS'!C52</f>
        <v>0</v>
      </c>
      <c r="S42" s="64">
        <f>D42*'Zadání OS'!D52</f>
        <v>0</v>
      </c>
      <c r="T42" s="64">
        <f>E42*'Zadání OS'!E52</f>
        <v>0</v>
      </c>
    </row>
    <row r="43" spans="1:20">
      <c r="A43" s="66">
        <v>1800</v>
      </c>
      <c r="B43" s="75">
        <v>772</v>
      </c>
      <c r="C43" s="75">
        <v>848</v>
      </c>
      <c r="D43" s="75">
        <v>996</v>
      </c>
      <c r="E43" s="75">
        <v>1213</v>
      </c>
      <c r="O43" s="73">
        <f t="shared" si="1"/>
        <v>0</v>
      </c>
      <c r="Q43" s="64">
        <f>B43*'Zadání OS'!B53</f>
        <v>0</v>
      </c>
      <c r="R43" s="64">
        <f>C43*'Zadání OS'!C53</f>
        <v>0</v>
      </c>
      <c r="S43" s="64">
        <f>D43*'Zadání OS'!D53</f>
        <v>0</v>
      </c>
      <c r="T43" s="64">
        <f>E43*'Zadání OS'!E53</f>
        <v>0</v>
      </c>
    </row>
    <row r="44" spans="1:20">
      <c r="A44" s="66" t="s">
        <v>537</v>
      </c>
      <c r="B44" s="64" t="s">
        <v>538</v>
      </c>
      <c r="E44" s="64" t="s">
        <v>539</v>
      </c>
      <c r="O44" s="73"/>
    </row>
    <row r="45" spans="1:20">
      <c r="B45" s="64">
        <f>'Zadání OS'!B55</f>
        <v>0</v>
      </c>
      <c r="E45" s="64">
        <f>'Zadání OS'!E55</f>
        <v>0</v>
      </c>
      <c r="O45" s="73">
        <f>B45*E45</f>
        <v>0</v>
      </c>
    </row>
    <row r="46" spans="1:20">
      <c r="B46" s="64">
        <f>'Zadání OS'!B56</f>
        <v>0</v>
      </c>
      <c r="E46" s="64">
        <f>'Zadání OS'!E56</f>
        <v>0</v>
      </c>
      <c r="O46" s="73">
        <f t="shared" ref="O46:O49" si="2">B46*E46</f>
        <v>0</v>
      </c>
    </row>
    <row r="47" spans="1:20">
      <c r="B47" s="64">
        <f>'Zadání OS'!B57</f>
        <v>0</v>
      </c>
      <c r="E47" s="64">
        <f>'Zadání OS'!E57</f>
        <v>0</v>
      </c>
      <c r="O47" s="73">
        <f t="shared" si="2"/>
        <v>0</v>
      </c>
    </row>
    <row r="48" spans="1:20">
      <c r="B48" s="64">
        <f>'Zadání OS'!B58</f>
        <v>0</v>
      </c>
      <c r="E48" s="64">
        <f>'Zadání OS'!E58</f>
        <v>0</v>
      </c>
      <c r="O48" s="73">
        <f t="shared" si="2"/>
        <v>0</v>
      </c>
    </row>
    <row r="49" spans="1:15" ht="15.75" thickBot="1">
      <c r="B49" s="64">
        <f>'Zadání OS'!B59</f>
        <v>0</v>
      </c>
      <c r="E49" s="64">
        <f>'Zadání OS'!E59</f>
        <v>0</v>
      </c>
      <c r="O49" s="74">
        <f t="shared" si="2"/>
        <v>0</v>
      </c>
    </row>
    <row r="52" spans="1:15">
      <c r="A52" s="66" t="s">
        <v>540</v>
      </c>
      <c r="E52" s="64" t="s">
        <v>541</v>
      </c>
      <c r="I52" s="64" t="s">
        <v>542</v>
      </c>
    </row>
  </sheetData>
  <sheetProtection algorithmName="SHA-512" hashValue="dszXQ2RxIPzXbbAiVX1gqrSzvbtNyv7oj04gxkZeX4o6/Gpkw2oyrAmrb+kK27dIOFsPb8f7PCNvKIsoL3+eeA==" saltValue="WIDFElyIWdelRq0zObv3bw==" spinCount="100000" sheet="1" objects="1" scenarios="1"/>
  <mergeCells count="4">
    <mergeCell ref="B7:M7"/>
    <mergeCell ref="B8:E8"/>
    <mergeCell ref="F8:I8"/>
    <mergeCell ref="J8:M8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821940-c806-4b60-89bb-260442516536" xsi:nil="true"/>
    <lcf76f155ced4ddcb4097134ff3c332f xmlns="a84e7329-8f5e-443f-a7e3-30c0fa12bd4c">
      <Terms xmlns="http://schemas.microsoft.com/office/infopath/2007/PartnerControls"/>
    </lcf76f155ced4ddcb4097134ff3c332f>
    <SharedWithUsers xmlns="21821940-c806-4b60-89bb-260442516536">
      <UserInfo>
        <DisplayName>Tomáš Vanický</DisplayName>
        <AccountId>11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B14A953263E147B67AC4882A941F90" ma:contentTypeVersion="14" ma:contentTypeDescription="Vytvoří nový dokument" ma:contentTypeScope="" ma:versionID="1b0c6ff994dc18f94da6b06e0bb11214">
  <xsd:schema xmlns:xsd="http://www.w3.org/2001/XMLSchema" xmlns:xs="http://www.w3.org/2001/XMLSchema" xmlns:p="http://schemas.microsoft.com/office/2006/metadata/properties" xmlns:ns2="a84e7329-8f5e-443f-a7e3-30c0fa12bd4c" xmlns:ns3="21821940-c806-4b60-89bb-260442516536" targetNamespace="http://schemas.microsoft.com/office/2006/metadata/properties" ma:root="true" ma:fieldsID="91fca378ac93a682a65fe3fb97b421df" ns2:_="" ns3:_="">
    <xsd:import namespace="a84e7329-8f5e-443f-a7e3-30c0fa12bd4c"/>
    <xsd:import namespace="21821940-c806-4b60-89bb-2604425165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e7329-8f5e-443f-a7e3-30c0fa12bd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77ad8647-d6d6-4a1d-a25f-ca5f6625ff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821940-c806-4b60-89bb-26044251653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defa474-0651-4b43-af7a-9c30c610a96e}" ma:internalName="TaxCatchAll" ma:showField="CatchAllData" ma:web="21821940-c806-4b60-89bb-2604425165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6DF12-AF00-4596-B25F-4EC6E40E7FB4}">
  <ds:schemaRefs>
    <ds:schemaRef ds:uri="http://purl.org/dc/elements/1.1/"/>
    <ds:schemaRef ds:uri="http://schemas.microsoft.com/office/2006/documentManagement/types"/>
    <ds:schemaRef ds:uri="http://purl.org/dc/terms/"/>
    <ds:schemaRef ds:uri="21821940-c806-4b60-89bb-260442516536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84e7329-8f5e-443f-a7e3-30c0fa12bd4c"/>
  </ds:schemaRefs>
</ds:datastoreItem>
</file>

<file path=customXml/itemProps2.xml><?xml version="1.0" encoding="utf-8"?>
<ds:datastoreItem xmlns:ds="http://schemas.openxmlformats.org/officeDocument/2006/customXml" ds:itemID="{882C86E3-E736-4C0B-B1F3-5E16A1EC0D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4e7329-8f5e-443f-a7e3-30c0fa12bd4c"/>
    <ds:schemaRef ds:uri="21821940-c806-4b60-89bb-2604425165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53FA6D-0D59-41C0-9601-DC9FC9E9CF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obálka_ST</vt:lpstr>
      <vt:lpstr>U-hodnota</vt:lpstr>
      <vt:lpstr>Materiály</vt:lpstr>
      <vt:lpstr>Zadání OS</vt:lpstr>
      <vt:lpstr>Výkony </vt:lpstr>
      <vt:lpstr>obálka_ST!Oblast_tisku</vt:lpstr>
      <vt:lpstr>'Zadání OS'!Oblast_tisku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ZP</dc:creator>
  <cp:keywords/>
  <dc:description/>
  <cp:lastModifiedBy>Kotěra Martin</cp:lastModifiedBy>
  <cp:revision/>
  <cp:lastPrinted>2025-02-19T15:50:25Z</cp:lastPrinted>
  <dcterms:created xsi:type="dcterms:W3CDTF">2010-06-23T12:32:00Z</dcterms:created>
  <dcterms:modified xsi:type="dcterms:W3CDTF">2025-02-20T16:17:56Z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0x0101001DB14A953263E147B67AC4882A941F90</vt:lpwstr>
  </property>
  <property fmtid="{D5CDD505-2E9C-101B-9397-08002B2CF9AE}" pid="3" name="MediaServiceImageTags">
    <vt:lpwstr/>
  </property>
</Properties>
</file>